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allemie\GitHub\SSPs_SDGs_Assessment\Model\"/>
    </mc:Choice>
  </mc:AlternateContent>
  <bookViews>
    <workbookView xWindow="-8685" yWindow="-16440" windowWidth="29040" windowHeight="15840" tabRatio="793" firstSheet="11" activeTab="23"/>
  </bookViews>
  <sheets>
    <sheet name="Outcomes" sheetId="2" r:id="rId1"/>
    <sheet name="Uncertainties" sheetId="1" r:id="rId2"/>
    <sheet name="Important_Uncertainties" sheetId="3" r:id="rId3"/>
    <sheet name="Correlation_analysis" sheetId="32" r:id="rId4"/>
    <sheet name="SDG_indicators_description_arch" sheetId="54" state="hidden" r:id="rId5"/>
    <sheet name="SSP_parameters_assumptions_arch" sheetId="78" state="hidden" r:id="rId6"/>
    <sheet name="SSP_parameters_assumptions" sheetId="9" r:id="rId7"/>
    <sheet name="SSP_parameters_values" sheetId="76" r:id="rId8"/>
    <sheet name="SSP_parameters_values (3)" sheetId="81" state="hidden" r:id="rId9"/>
    <sheet name="SSP_parameters_values (4)" sheetId="94" state="hidden" r:id="rId10"/>
    <sheet name="Exploratory_analysis_constants" sheetId="93" r:id="rId11"/>
    <sheet name="Exploratory_analysis_SSP1" sheetId="41" r:id="rId12"/>
    <sheet name="Quantitative_assumption_rates" sheetId="30" state="hidden" r:id="rId13"/>
    <sheet name="Quantitative_assumption_values" sheetId="31" state="hidden" r:id="rId14"/>
    <sheet name="SSP_parameters_values_arch" sheetId="77" state="hidden" r:id="rId15"/>
    <sheet name="SSP_parameters_values (2)" sheetId="80" state="hidden" r:id="rId16"/>
    <sheet name="Exploratory_analysis_SSP2" sheetId="89" r:id="rId17"/>
    <sheet name="Exploratory_analysis_SSP3" sheetId="90" r:id="rId18"/>
    <sheet name="Exploratory_analysis_SSP4" sheetId="91" r:id="rId19"/>
    <sheet name="Exploratory_analysis_SSP5" sheetId="92" r:id="rId20"/>
    <sheet name="SDG_indicators_description" sheetId="46" state="hidden" r:id="rId21"/>
    <sheet name="SDG_indicators_description_P1" sheetId="57" state="hidden" r:id="rId22"/>
    <sheet name="SDG_indicators_description_P2" sheetId="58" state="hidden" r:id="rId23"/>
    <sheet name="SDG_indicator_metadata" sheetId="53" r:id="rId24"/>
    <sheet name="SDG_indicator_target" sheetId="52" r:id="rId25"/>
    <sheet name="SDG_indicator_definition" sheetId="59" state="hidden" r:id="rId26"/>
    <sheet name="SDG_indicator_target_justifc" sheetId="61" state="hidden" r:id="rId27"/>
    <sheet name="SDG_indicator_data_sources_P1" sheetId="62" state="hidden" r:id="rId28"/>
    <sheet name="SDG_indicator_data_P1" sheetId="60" state="hidden" r:id="rId29"/>
    <sheet name="SDG_indicator_data (2)" sheetId="56" state="hidden" r:id="rId30"/>
    <sheet name="SDG_indicator_data_arch2" sheetId="55" state="hidden" r:id="rId31"/>
    <sheet name="SDG_indicator_data_arch" sheetId="48" state="hidden" r:id="rId32"/>
    <sheet name="SDG_indicator_model_target" sheetId="49" state="hidden" r:id="rId33"/>
    <sheet name="SDG_indicator_model_target_P1" sheetId="65" state="hidden" r:id="rId34"/>
    <sheet name="SDG_indicator_notarget" sheetId="51" state="hidden" r:id="rId35"/>
    <sheet name="SSPs_assumptions_sum" sheetId="33" state="hidden" r:id="rId36"/>
    <sheet name="Qualitative_assumptions_sum (2)" sheetId="63" state="hidden" r:id="rId37"/>
    <sheet name="Quantitative_assumptions_table" sheetId="40" state="hidden" r:id="rId38"/>
    <sheet name="Qualitative_assumptions_Covid" sheetId="66" state="hidden" r:id="rId39"/>
    <sheet name="Qualitative_assumptions_P1" sheetId="37" state="hidden" r:id="rId40"/>
    <sheet name="Quantitative_assumption_val_sum" sheetId="67" state="hidden" r:id="rId41"/>
    <sheet name="Quantitat_assump_val_sum_archiv" sheetId="36" state="hidden" r:id="rId42"/>
    <sheet name="Exploratory_analysis_PesST" sheetId="69" state="hidden" r:id="rId43"/>
    <sheet name="Exploratory_analysis_PesLT" sheetId="74" state="hidden" r:id="rId44"/>
    <sheet name="Exploratory_analysis_OptST" sheetId="70" state="hidden" r:id="rId45"/>
    <sheet name="Exploratory_analysis_OptLT" sheetId="75" state="hidden" r:id="rId46"/>
    <sheet name="Quantitative_assump_sum_archiv" sheetId="35" state="hidden" r:id="rId47"/>
    <sheet name="SDG_indicator_data_archive" sheetId="47" state="hidden" r:id="rId48"/>
    <sheet name="SSPs_parallel_plot__archv" sheetId="28" state="hidden" r:id="rId49"/>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5" i="53" l="1"/>
  <c r="Q15" i="53"/>
  <c r="L15" i="53"/>
  <c r="F35" i="91" l="1"/>
  <c r="G35" i="91"/>
  <c r="F36" i="91"/>
  <c r="G36" i="91"/>
  <c r="G34" i="91"/>
  <c r="F34" i="91"/>
  <c r="F35" i="89"/>
  <c r="G35" i="89"/>
  <c r="F36" i="89"/>
  <c r="G36" i="89"/>
  <c r="G34" i="89"/>
  <c r="F34" i="89"/>
  <c r="F35" i="41"/>
  <c r="G35" i="41"/>
  <c r="F36" i="41"/>
  <c r="G36" i="41"/>
  <c r="G34" i="41"/>
  <c r="F34" i="41"/>
  <c r="C10" i="93"/>
  <c r="D10" i="93"/>
  <c r="F10" i="93"/>
  <c r="G10" i="93"/>
  <c r="G40" i="76"/>
  <c r="H40" i="76"/>
  <c r="E62" i="76"/>
  <c r="F38" i="76"/>
  <c r="F39" i="76"/>
  <c r="F40" i="76"/>
  <c r="V135" i="53" l="1"/>
  <c r="Q135" i="53"/>
  <c r="L135" i="53"/>
  <c r="V147" i="53"/>
  <c r="Q147" i="53"/>
  <c r="L147" i="53"/>
  <c r="F22" i="92" l="1"/>
  <c r="F18" i="92"/>
  <c r="G3" i="92"/>
  <c r="G2" i="92"/>
  <c r="G6" i="90" l="1"/>
  <c r="F6" i="90"/>
  <c r="G5" i="90"/>
  <c r="F5" i="90"/>
  <c r="I60" i="94" l="1"/>
  <c r="H60" i="94"/>
  <c r="G60" i="94"/>
  <c r="F60" i="94"/>
  <c r="E60" i="94"/>
  <c r="I59" i="94"/>
  <c r="H59" i="94"/>
  <c r="G59" i="94"/>
  <c r="F59" i="94"/>
  <c r="E59" i="94"/>
  <c r="I58" i="94"/>
  <c r="H58" i="94"/>
  <c r="G58" i="94"/>
  <c r="F58" i="94"/>
  <c r="E58" i="94"/>
  <c r="I57" i="94"/>
  <c r="H57" i="94"/>
  <c r="F57" i="94"/>
  <c r="E57" i="94"/>
  <c r="I56" i="94"/>
  <c r="H56" i="94"/>
  <c r="G56" i="94"/>
  <c r="F56" i="94"/>
  <c r="E56" i="94"/>
  <c r="I55" i="94"/>
  <c r="H55" i="94"/>
  <c r="G55" i="94"/>
  <c r="F55" i="94"/>
  <c r="E55" i="94"/>
  <c r="I54" i="94"/>
  <c r="H54" i="94"/>
  <c r="G54" i="94"/>
  <c r="F54" i="94"/>
  <c r="E54" i="94"/>
  <c r="I53" i="94"/>
  <c r="H53" i="94"/>
  <c r="G53" i="94"/>
  <c r="F53" i="94"/>
  <c r="E53" i="94"/>
  <c r="I52" i="94"/>
  <c r="H52" i="94"/>
  <c r="G52" i="94"/>
  <c r="F52" i="94"/>
  <c r="E52" i="94"/>
  <c r="I51" i="94"/>
  <c r="H51" i="94"/>
  <c r="G51" i="94"/>
  <c r="F51" i="94"/>
  <c r="E51" i="94"/>
  <c r="I50" i="94"/>
  <c r="H50" i="94"/>
  <c r="G50" i="94"/>
  <c r="F50" i="94"/>
  <c r="E50" i="94"/>
  <c r="I49" i="94"/>
  <c r="H49" i="94"/>
  <c r="G49" i="94"/>
  <c r="F49" i="94"/>
  <c r="E49" i="94"/>
  <c r="I48" i="94"/>
  <c r="H48" i="94"/>
  <c r="F48" i="94"/>
  <c r="E48" i="94"/>
  <c r="I46" i="94"/>
  <c r="H46" i="94"/>
  <c r="G46" i="94"/>
  <c r="F46" i="94"/>
  <c r="E46" i="94"/>
  <c r="I45" i="94"/>
  <c r="H45" i="94"/>
  <c r="G45" i="94"/>
  <c r="F45" i="94"/>
  <c r="E45" i="94"/>
  <c r="I44" i="94"/>
  <c r="H44" i="94"/>
  <c r="G44" i="94"/>
  <c r="F44" i="94"/>
  <c r="E44" i="94"/>
  <c r="I43" i="94"/>
  <c r="H43" i="94"/>
  <c r="G43" i="94"/>
  <c r="F43" i="94"/>
  <c r="E43" i="94"/>
  <c r="I42" i="94"/>
  <c r="H42" i="94"/>
  <c r="G42" i="94"/>
  <c r="F42" i="94"/>
  <c r="E42" i="94"/>
  <c r="I41" i="94"/>
  <c r="H41" i="94"/>
  <c r="G41" i="94"/>
  <c r="F41" i="94"/>
  <c r="E41" i="94"/>
  <c r="I40" i="94"/>
  <c r="H40" i="94"/>
  <c r="G40" i="94"/>
  <c r="F40" i="94"/>
  <c r="E40" i="94"/>
  <c r="I39" i="94"/>
  <c r="H39" i="94"/>
  <c r="G39" i="94"/>
  <c r="F39" i="94"/>
  <c r="E39" i="94"/>
  <c r="I38" i="94"/>
  <c r="H38" i="94"/>
  <c r="G38" i="94"/>
  <c r="F38" i="94"/>
  <c r="E38" i="94"/>
  <c r="I37" i="94"/>
  <c r="H37" i="94"/>
  <c r="G37" i="94"/>
  <c r="F37" i="94"/>
  <c r="E37" i="94"/>
  <c r="I36" i="94"/>
  <c r="H36" i="94"/>
  <c r="G36" i="94"/>
  <c r="F36" i="94"/>
  <c r="E36" i="94"/>
  <c r="I35" i="94"/>
  <c r="H35" i="94"/>
  <c r="G35" i="94"/>
  <c r="F35" i="94"/>
  <c r="E35" i="94"/>
  <c r="I34" i="94"/>
  <c r="H34" i="94"/>
  <c r="G34" i="94"/>
  <c r="F34" i="94"/>
  <c r="E34" i="94"/>
  <c r="I33" i="94"/>
  <c r="H33" i="94"/>
  <c r="G33" i="94"/>
  <c r="F33" i="94"/>
  <c r="E33" i="94"/>
  <c r="I32" i="94"/>
  <c r="H32" i="94"/>
  <c r="G32" i="94"/>
  <c r="F32" i="94"/>
  <c r="E32" i="94"/>
  <c r="I31" i="94"/>
  <c r="H31" i="94"/>
  <c r="G31" i="94"/>
  <c r="F31" i="94"/>
  <c r="E31" i="94"/>
  <c r="I30" i="94"/>
  <c r="H30" i="94"/>
  <c r="G30" i="94"/>
  <c r="F30" i="94"/>
  <c r="E30" i="94"/>
  <c r="I29" i="94"/>
  <c r="H29" i="94"/>
  <c r="G29" i="94"/>
  <c r="F29" i="94"/>
  <c r="E29" i="94"/>
  <c r="I28" i="94"/>
  <c r="H28" i="94"/>
  <c r="G28" i="94"/>
  <c r="F28" i="94"/>
  <c r="E28" i="94"/>
  <c r="I27" i="94"/>
  <c r="H27" i="94"/>
  <c r="G27" i="94"/>
  <c r="F27" i="94"/>
  <c r="E27" i="94"/>
  <c r="I26" i="94"/>
  <c r="H26" i="94"/>
  <c r="G26" i="94"/>
  <c r="F26" i="94"/>
  <c r="E26" i="94"/>
  <c r="I25" i="94"/>
  <c r="H25" i="94"/>
  <c r="F25" i="94"/>
  <c r="E25" i="94"/>
  <c r="I24" i="94"/>
  <c r="H24" i="94"/>
  <c r="F24" i="94"/>
  <c r="E24" i="94"/>
  <c r="I23" i="94"/>
  <c r="H23" i="94"/>
  <c r="G23" i="94"/>
  <c r="F23" i="94"/>
  <c r="E23" i="94"/>
  <c r="I22" i="94"/>
  <c r="H22" i="94"/>
  <c r="G22" i="94"/>
  <c r="F22" i="94"/>
  <c r="E22" i="94"/>
  <c r="I21" i="94"/>
  <c r="H21" i="94"/>
  <c r="G21" i="94"/>
  <c r="F21" i="94"/>
  <c r="E21" i="94"/>
  <c r="I20" i="94"/>
  <c r="H20" i="94"/>
  <c r="F20" i="94"/>
  <c r="E20" i="94"/>
  <c r="I19" i="94"/>
  <c r="H19" i="94"/>
  <c r="F19" i="94"/>
  <c r="E19" i="94"/>
  <c r="I18" i="94"/>
  <c r="H18" i="94"/>
  <c r="F18" i="94"/>
  <c r="E18" i="94"/>
  <c r="I17" i="94"/>
  <c r="H17" i="94"/>
  <c r="G17" i="94"/>
  <c r="F17" i="94"/>
  <c r="E17" i="94"/>
  <c r="I16" i="94"/>
  <c r="H16" i="94"/>
  <c r="G16" i="94"/>
  <c r="F16" i="94"/>
  <c r="E16" i="94"/>
  <c r="I15" i="94"/>
  <c r="H15" i="94"/>
  <c r="G15" i="94"/>
  <c r="F15" i="94"/>
  <c r="E15" i="94"/>
  <c r="C7" i="93"/>
  <c r="D7" i="93"/>
  <c r="E7" i="93"/>
  <c r="F7" i="93"/>
  <c r="G7" i="93"/>
  <c r="C8" i="93"/>
  <c r="D8" i="93"/>
  <c r="E8" i="93"/>
  <c r="F8" i="93"/>
  <c r="G8" i="93"/>
  <c r="C9" i="93"/>
  <c r="D9" i="93"/>
  <c r="F9" i="93"/>
  <c r="G9" i="93"/>
  <c r="C11" i="93"/>
  <c r="D11" i="93"/>
  <c r="F11" i="93"/>
  <c r="G11" i="93"/>
  <c r="C12" i="93"/>
  <c r="D12" i="93"/>
  <c r="E12" i="93"/>
  <c r="F12" i="93"/>
  <c r="G12" i="93"/>
  <c r="C13" i="93"/>
  <c r="D13" i="93"/>
  <c r="E13" i="93"/>
  <c r="F13" i="93"/>
  <c r="G13" i="93"/>
  <c r="G35" i="93"/>
  <c r="F35" i="93"/>
  <c r="E35" i="93"/>
  <c r="D35" i="93"/>
  <c r="C35" i="93"/>
  <c r="G34" i="93"/>
  <c r="F34" i="93"/>
  <c r="E34" i="93"/>
  <c r="D34" i="93"/>
  <c r="C34" i="93"/>
  <c r="G33" i="93"/>
  <c r="F33" i="93"/>
  <c r="E33" i="93"/>
  <c r="D33" i="93"/>
  <c r="C33" i="93"/>
  <c r="G32" i="93"/>
  <c r="F32" i="93"/>
  <c r="D32" i="93"/>
  <c r="C32" i="93"/>
  <c r="G31" i="93"/>
  <c r="F31" i="93"/>
  <c r="E31" i="93"/>
  <c r="D31" i="93"/>
  <c r="C31" i="93"/>
  <c r="G30" i="93"/>
  <c r="F30" i="93"/>
  <c r="E30" i="93"/>
  <c r="D30" i="93"/>
  <c r="C30" i="93"/>
  <c r="G29" i="93"/>
  <c r="F29" i="93"/>
  <c r="E29" i="93"/>
  <c r="D29" i="93"/>
  <c r="C29" i="93"/>
  <c r="G25" i="93"/>
  <c r="F25" i="93"/>
  <c r="E25" i="93"/>
  <c r="D25" i="93"/>
  <c r="C25" i="93"/>
  <c r="G24" i="93"/>
  <c r="F24" i="93"/>
  <c r="E24" i="93"/>
  <c r="D24" i="93"/>
  <c r="C24" i="93"/>
  <c r="G23" i="93"/>
  <c r="F23" i="93"/>
  <c r="E23" i="93"/>
  <c r="D23" i="93"/>
  <c r="C23" i="93"/>
  <c r="G22" i="93"/>
  <c r="F22" i="93"/>
  <c r="E22" i="93"/>
  <c r="D22" i="93"/>
  <c r="C22" i="93"/>
  <c r="G21" i="93"/>
  <c r="F21" i="93"/>
  <c r="E21" i="93"/>
  <c r="D21" i="93"/>
  <c r="C21" i="93"/>
  <c r="G20" i="93"/>
  <c r="F20" i="93"/>
  <c r="E20" i="93"/>
  <c r="D20" i="93"/>
  <c r="C20" i="93"/>
  <c r="G19" i="93"/>
  <c r="F19" i="93"/>
  <c r="E19" i="93"/>
  <c r="D19" i="93"/>
  <c r="C19" i="93"/>
  <c r="G18" i="93"/>
  <c r="F18" i="93"/>
  <c r="E18" i="93"/>
  <c r="D18" i="93"/>
  <c r="C18" i="93"/>
  <c r="G17" i="93"/>
  <c r="F17" i="93"/>
  <c r="E17" i="93"/>
  <c r="D17" i="93"/>
  <c r="C17" i="93"/>
  <c r="G16" i="93"/>
  <c r="F16" i="93"/>
  <c r="E16" i="93"/>
  <c r="D16" i="93"/>
  <c r="C16" i="93"/>
  <c r="G15" i="93"/>
  <c r="F15" i="93"/>
  <c r="E15" i="93"/>
  <c r="D15" i="93"/>
  <c r="C15" i="93"/>
  <c r="G14" i="93"/>
  <c r="F14" i="93"/>
  <c r="E14" i="93"/>
  <c r="D14" i="93"/>
  <c r="C14" i="93"/>
  <c r="G159" i="53" l="1"/>
  <c r="F159" i="53"/>
  <c r="E159" i="53"/>
  <c r="P51" i="53" l="1"/>
  <c r="Z51" i="53" s="1"/>
  <c r="I51" i="53"/>
  <c r="L51" i="53" s="1"/>
  <c r="G51" i="53"/>
  <c r="F51" i="53"/>
  <c r="E51" i="53"/>
  <c r="V51" i="53"/>
  <c r="Q51" i="53"/>
  <c r="T51" i="53" l="1"/>
  <c r="O51" i="53"/>
  <c r="X51" i="53"/>
  <c r="N51" i="53"/>
  <c r="Y51" i="53"/>
  <c r="S51" i="53"/>
  <c r="U51" i="53"/>
  <c r="G26" i="92" l="1"/>
  <c r="F26" i="92"/>
  <c r="G25" i="92"/>
  <c r="F25" i="92"/>
  <c r="G24" i="92"/>
  <c r="F24" i="92"/>
  <c r="G23" i="92"/>
  <c r="F23" i="92"/>
  <c r="G21" i="92"/>
  <c r="F21" i="92"/>
  <c r="G20" i="92"/>
  <c r="F20" i="92"/>
  <c r="G19" i="92"/>
  <c r="F19" i="92"/>
  <c r="G18" i="92"/>
  <c r="G17" i="92"/>
  <c r="F17" i="92"/>
  <c r="G16" i="92"/>
  <c r="F16" i="92"/>
  <c r="G15" i="92"/>
  <c r="F15" i="92"/>
  <c r="G14" i="92"/>
  <c r="F14" i="92"/>
  <c r="G13" i="92"/>
  <c r="F13" i="92"/>
  <c r="G12" i="92"/>
  <c r="F12" i="92"/>
  <c r="G11" i="92"/>
  <c r="F11" i="92"/>
  <c r="G10" i="92"/>
  <c r="F10" i="92"/>
  <c r="G9" i="92"/>
  <c r="F9" i="92"/>
  <c r="G8" i="92"/>
  <c r="F8" i="92"/>
  <c r="G7" i="92"/>
  <c r="F7" i="92"/>
  <c r="G6" i="92"/>
  <c r="F6" i="92"/>
  <c r="G5" i="92"/>
  <c r="F5" i="92"/>
  <c r="G4" i="92"/>
  <c r="F4" i="92"/>
  <c r="F3" i="92"/>
  <c r="F2" i="92"/>
  <c r="G26" i="91"/>
  <c r="F26" i="91"/>
  <c r="G25" i="91"/>
  <c r="F25" i="91"/>
  <c r="G24" i="91"/>
  <c r="F24" i="91"/>
  <c r="G23" i="91"/>
  <c r="F23" i="91"/>
  <c r="F22" i="91"/>
  <c r="G21" i="91"/>
  <c r="F21" i="91"/>
  <c r="G20" i="91"/>
  <c r="F20" i="91"/>
  <c r="G19" i="91"/>
  <c r="F19" i="91"/>
  <c r="G18" i="91"/>
  <c r="F18" i="91"/>
  <c r="G17" i="91"/>
  <c r="F17" i="91"/>
  <c r="G16" i="91"/>
  <c r="F16" i="91"/>
  <c r="G15" i="91"/>
  <c r="F15" i="91"/>
  <c r="G14" i="91"/>
  <c r="F14" i="91"/>
  <c r="G13" i="91"/>
  <c r="F13" i="91"/>
  <c r="G12" i="91"/>
  <c r="F12" i="91"/>
  <c r="G11" i="91"/>
  <c r="F11" i="91"/>
  <c r="G10" i="91"/>
  <c r="F10" i="91"/>
  <c r="G9" i="91"/>
  <c r="F9" i="91"/>
  <c r="G8" i="91"/>
  <c r="F8" i="91"/>
  <c r="G7" i="91"/>
  <c r="F7" i="91"/>
  <c r="G6" i="91"/>
  <c r="F6" i="91"/>
  <c r="G5" i="91"/>
  <c r="F5" i="91"/>
  <c r="G4" i="91"/>
  <c r="F4" i="91"/>
  <c r="G3" i="91"/>
  <c r="F3" i="91"/>
  <c r="G2" i="91"/>
  <c r="F2" i="91"/>
  <c r="G26" i="90"/>
  <c r="F26" i="90"/>
  <c r="G25" i="90"/>
  <c r="F25" i="90"/>
  <c r="G24" i="90"/>
  <c r="F24" i="90"/>
  <c r="G23" i="90"/>
  <c r="F23" i="90"/>
  <c r="F22" i="90"/>
  <c r="G21" i="90"/>
  <c r="F21" i="90"/>
  <c r="G20" i="90"/>
  <c r="F20" i="90"/>
  <c r="G19" i="90"/>
  <c r="F19" i="90"/>
  <c r="G18" i="90"/>
  <c r="F18" i="90"/>
  <c r="G17" i="90"/>
  <c r="F17" i="90"/>
  <c r="G16" i="90"/>
  <c r="F16" i="90"/>
  <c r="G15" i="90"/>
  <c r="F15" i="90"/>
  <c r="G14" i="90"/>
  <c r="F14" i="90"/>
  <c r="G13" i="90"/>
  <c r="F13" i="90"/>
  <c r="G12" i="90"/>
  <c r="F12" i="90"/>
  <c r="G11" i="90"/>
  <c r="F11" i="90"/>
  <c r="G10" i="90"/>
  <c r="F10" i="90"/>
  <c r="G9" i="90"/>
  <c r="F9" i="90"/>
  <c r="G8" i="90"/>
  <c r="F8" i="90"/>
  <c r="G7" i="90"/>
  <c r="F7" i="90"/>
  <c r="G4" i="90"/>
  <c r="F4" i="90"/>
  <c r="G3" i="90"/>
  <c r="F3" i="90"/>
  <c r="G2" i="90"/>
  <c r="F2" i="90"/>
  <c r="G26" i="89"/>
  <c r="F26" i="89"/>
  <c r="G25" i="89"/>
  <c r="F25" i="89"/>
  <c r="G24" i="89"/>
  <c r="F24" i="89"/>
  <c r="G23" i="89"/>
  <c r="F23" i="89"/>
  <c r="F22" i="89"/>
  <c r="G21" i="89"/>
  <c r="F21" i="89"/>
  <c r="G20" i="89"/>
  <c r="F20" i="89"/>
  <c r="G19" i="89"/>
  <c r="F19" i="89"/>
  <c r="G18" i="89"/>
  <c r="F18" i="89"/>
  <c r="G17" i="89"/>
  <c r="F17" i="89"/>
  <c r="G16" i="89"/>
  <c r="F16" i="89"/>
  <c r="G15" i="89"/>
  <c r="F15" i="89"/>
  <c r="G14" i="89"/>
  <c r="F14" i="89"/>
  <c r="G13" i="89"/>
  <c r="F13" i="89"/>
  <c r="G12" i="89"/>
  <c r="F12" i="89"/>
  <c r="G11" i="89"/>
  <c r="F11" i="89"/>
  <c r="G10" i="89"/>
  <c r="F10" i="89"/>
  <c r="G9" i="89"/>
  <c r="F9" i="89"/>
  <c r="G8" i="89"/>
  <c r="F8" i="89"/>
  <c r="G7" i="89"/>
  <c r="F7" i="89"/>
  <c r="G6" i="89"/>
  <c r="F6" i="89"/>
  <c r="G5" i="89"/>
  <c r="F5" i="89"/>
  <c r="G4" i="89"/>
  <c r="F4" i="89"/>
  <c r="G3" i="89"/>
  <c r="F3" i="89"/>
  <c r="G2" i="89"/>
  <c r="F2" i="89"/>
  <c r="F3" i="41"/>
  <c r="G3" i="41"/>
  <c r="F4" i="41"/>
  <c r="G4" i="41"/>
  <c r="F5" i="41"/>
  <c r="G5" i="41"/>
  <c r="F6" i="41"/>
  <c r="G6" i="41"/>
  <c r="F7" i="41"/>
  <c r="G7" i="41"/>
  <c r="F8" i="41"/>
  <c r="G8" i="41"/>
  <c r="F9" i="41"/>
  <c r="G9" i="41"/>
  <c r="F10" i="41"/>
  <c r="G10" i="41"/>
  <c r="F11" i="41"/>
  <c r="G11" i="41"/>
  <c r="F12" i="41"/>
  <c r="G12" i="41"/>
  <c r="F13" i="41"/>
  <c r="G13" i="41"/>
  <c r="F14" i="41"/>
  <c r="G14" i="41"/>
  <c r="F15" i="41"/>
  <c r="G15" i="41"/>
  <c r="F16" i="41"/>
  <c r="G16" i="41"/>
  <c r="F17" i="41"/>
  <c r="G17" i="41"/>
  <c r="F18" i="41"/>
  <c r="G18" i="41"/>
  <c r="F19" i="41"/>
  <c r="G19" i="41"/>
  <c r="F20" i="41"/>
  <c r="G20" i="41"/>
  <c r="F21" i="41"/>
  <c r="G21" i="41"/>
  <c r="F22" i="41"/>
  <c r="F23" i="41"/>
  <c r="G23" i="41"/>
  <c r="F24" i="41"/>
  <c r="G24" i="41"/>
  <c r="F25" i="41"/>
  <c r="G25" i="41"/>
  <c r="F26" i="41"/>
  <c r="G26" i="41"/>
  <c r="G2" i="41"/>
  <c r="F2" i="41"/>
  <c r="E15" i="81" l="1"/>
  <c r="E16" i="81"/>
  <c r="E17" i="81"/>
  <c r="E18" i="81"/>
  <c r="E19" i="81"/>
  <c r="E20" i="81"/>
  <c r="E21" i="81"/>
  <c r="E22" i="81"/>
  <c r="E23" i="81"/>
  <c r="E24" i="81"/>
  <c r="E25" i="81"/>
  <c r="E26" i="81"/>
  <c r="E27" i="81"/>
  <c r="E28" i="81"/>
  <c r="E29" i="81"/>
  <c r="E30" i="81"/>
  <c r="E31" i="81"/>
  <c r="E32" i="81"/>
  <c r="E33" i="81"/>
  <c r="E34" i="81"/>
  <c r="E35" i="81"/>
  <c r="E36" i="81"/>
  <c r="E37" i="81"/>
  <c r="E38" i="81"/>
  <c r="E39" i="81"/>
  <c r="E40" i="81"/>
  <c r="E41" i="81"/>
  <c r="E42" i="81"/>
  <c r="E43" i="81"/>
  <c r="E44" i="81"/>
  <c r="E45" i="81"/>
  <c r="E46" i="81"/>
  <c r="E48" i="81"/>
  <c r="E49" i="81"/>
  <c r="E50" i="81"/>
  <c r="E51" i="81"/>
  <c r="E52" i="81"/>
  <c r="E53" i="81"/>
  <c r="E54" i="81"/>
  <c r="E55" i="81"/>
  <c r="E56" i="81"/>
  <c r="E57" i="81"/>
  <c r="E58" i="81"/>
  <c r="E59" i="81"/>
  <c r="E60" i="81"/>
  <c r="I60" i="81"/>
  <c r="H60" i="81"/>
  <c r="G60" i="81"/>
  <c r="F60" i="81"/>
  <c r="I59" i="81"/>
  <c r="H59" i="81"/>
  <c r="G59" i="81"/>
  <c r="F59" i="81"/>
  <c r="I58" i="81"/>
  <c r="H58" i="81"/>
  <c r="G58" i="81"/>
  <c r="F58" i="81"/>
  <c r="I57" i="81"/>
  <c r="H57" i="81"/>
  <c r="F57" i="81"/>
  <c r="I56" i="81"/>
  <c r="H56" i="81"/>
  <c r="G56" i="81"/>
  <c r="F56" i="81"/>
  <c r="I55" i="81"/>
  <c r="H55" i="81"/>
  <c r="G55" i="81"/>
  <c r="F55" i="81"/>
  <c r="I54" i="81"/>
  <c r="H54" i="81"/>
  <c r="G54" i="81"/>
  <c r="F54" i="81"/>
  <c r="I53" i="81"/>
  <c r="H53" i="81"/>
  <c r="G53" i="81"/>
  <c r="F53" i="81"/>
  <c r="I52" i="81"/>
  <c r="H52" i="81"/>
  <c r="G52" i="81"/>
  <c r="F52" i="81"/>
  <c r="I51" i="81"/>
  <c r="H51" i="81"/>
  <c r="G51" i="81"/>
  <c r="F51" i="81"/>
  <c r="I50" i="81"/>
  <c r="H50" i="81"/>
  <c r="G50" i="81"/>
  <c r="F50" i="81"/>
  <c r="I49" i="81"/>
  <c r="H49" i="81"/>
  <c r="G49" i="81"/>
  <c r="F49" i="81"/>
  <c r="I48" i="81"/>
  <c r="H48" i="81"/>
  <c r="F48" i="81"/>
  <c r="I46" i="81"/>
  <c r="H46" i="81"/>
  <c r="G46" i="81"/>
  <c r="F46" i="81"/>
  <c r="I45" i="81"/>
  <c r="H45" i="81"/>
  <c r="G45" i="81"/>
  <c r="F45" i="81"/>
  <c r="I44" i="81"/>
  <c r="H44" i="81"/>
  <c r="G44" i="81"/>
  <c r="F44" i="81"/>
  <c r="I43" i="81"/>
  <c r="H43" i="81"/>
  <c r="G43" i="81"/>
  <c r="F43" i="81"/>
  <c r="I42" i="81"/>
  <c r="H42" i="81"/>
  <c r="G42" i="81"/>
  <c r="F42" i="81"/>
  <c r="I41" i="81"/>
  <c r="H41" i="81"/>
  <c r="G41" i="81"/>
  <c r="F41" i="81"/>
  <c r="I40" i="81"/>
  <c r="H40" i="81"/>
  <c r="G40" i="81"/>
  <c r="F40" i="81"/>
  <c r="I39" i="81"/>
  <c r="H39" i="81"/>
  <c r="G39" i="81"/>
  <c r="F39" i="81"/>
  <c r="I38" i="81"/>
  <c r="H38" i="81"/>
  <c r="G38" i="81"/>
  <c r="F38" i="81"/>
  <c r="I37" i="81"/>
  <c r="H37" i="81"/>
  <c r="G37" i="81"/>
  <c r="F37" i="81"/>
  <c r="I36" i="81"/>
  <c r="H36" i="81"/>
  <c r="G36" i="81"/>
  <c r="F36" i="81"/>
  <c r="I35" i="81"/>
  <c r="H35" i="81"/>
  <c r="G35" i="81"/>
  <c r="F35" i="81"/>
  <c r="I34" i="81"/>
  <c r="H34" i="81"/>
  <c r="G34" i="81"/>
  <c r="F34" i="81"/>
  <c r="I33" i="81"/>
  <c r="H33" i="81"/>
  <c r="G33" i="81"/>
  <c r="F33" i="81"/>
  <c r="I32" i="81"/>
  <c r="H32" i="81"/>
  <c r="G32" i="81"/>
  <c r="F32" i="81"/>
  <c r="I31" i="81"/>
  <c r="H31" i="81"/>
  <c r="G31" i="81"/>
  <c r="F31" i="81"/>
  <c r="I30" i="81"/>
  <c r="H30" i="81"/>
  <c r="G30" i="81"/>
  <c r="F30" i="81"/>
  <c r="I29" i="81"/>
  <c r="H29" i="81"/>
  <c r="G29" i="81"/>
  <c r="F29" i="81"/>
  <c r="I28" i="81"/>
  <c r="H28" i="81"/>
  <c r="G28" i="81"/>
  <c r="F28" i="81"/>
  <c r="I27" i="81"/>
  <c r="H27" i="81"/>
  <c r="G27" i="81"/>
  <c r="F27" i="81"/>
  <c r="I26" i="81"/>
  <c r="H26" i="81"/>
  <c r="G26" i="81"/>
  <c r="F26" i="81"/>
  <c r="I25" i="81"/>
  <c r="H25" i="81"/>
  <c r="F25" i="81"/>
  <c r="I24" i="81"/>
  <c r="H24" i="81"/>
  <c r="F24" i="81"/>
  <c r="I23" i="81"/>
  <c r="H23" i="81"/>
  <c r="G23" i="81"/>
  <c r="F23" i="81"/>
  <c r="I22" i="81"/>
  <c r="H22" i="81"/>
  <c r="G22" i="81"/>
  <c r="F22" i="81"/>
  <c r="I21" i="81"/>
  <c r="H21" i="81"/>
  <c r="G21" i="81"/>
  <c r="F21" i="81"/>
  <c r="I20" i="81"/>
  <c r="H20" i="81"/>
  <c r="F20" i="81"/>
  <c r="I19" i="81"/>
  <c r="H19" i="81"/>
  <c r="F19" i="81"/>
  <c r="I18" i="81"/>
  <c r="H18" i="81"/>
  <c r="F18" i="81"/>
  <c r="I17" i="81"/>
  <c r="H17" i="81"/>
  <c r="G17" i="81"/>
  <c r="F17" i="81"/>
  <c r="I16" i="81"/>
  <c r="H16" i="81"/>
  <c r="G16" i="81"/>
  <c r="F16" i="81"/>
  <c r="I15" i="81"/>
  <c r="H15" i="81"/>
  <c r="G15" i="81"/>
  <c r="F15" i="81"/>
  <c r="I31" i="76" l="1"/>
  <c r="I77" i="76"/>
  <c r="G77" i="76"/>
  <c r="I61" i="80" l="1"/>
  <c r="H61" i="80"/>
  <c r="G61" i="80"/>
  <c r="F61" i="80"/>
  <c r="E61" i="80"/>
  <c r="I60" i="80"/>
  <c r="H60" i="80"/>
  <c r="G60" i="80"/>
  <c r="F60" i="80"/>
  <c r="E60" i="80"/>
  <c r="I59" i="80"/>
  <c r="H59" i="80"/>
  <c r="G59" i="80"/>
  <c r="F59" i="80"/>
  <c r="E59" i="80"/>
  <c r="I58" i="80"/>
  <c r="H58" i="80"/>
  <c r="F58" i="80"/>
  <c r="E58" i="80"/>
  <c r="H57" i="80"/>
  <c r="F57" i="80"/>
  <c r="E57" i="80"/>
  <c r="I56" i="80"/>
  <c r="H56" i="80"/>
  <c r="G56" i="80"/>
  <c r="F56" i="80"/>
  <c r="E56" i="80"/>
  <c r="I55" i="80"/>
  <c r="H55" i="80"/>
  <c r="G55" i="80"/>
  <c r="F55" i="80"/>
  <c r="E55" i="80"/>
  <c r="I54" i="80"/>
  <c r="H54" i="80"/>
  <c r="G54" i="80"/>
  <c r="F54" i="80"/>
  <c r="E54" i="80"/>
  <c r="I53" i="80"/>
  <c r="H53" i="80"/>
  <c r="G53" i="80"/>
  <c r="F53" i="80"/>
  <c r="E53" i="80"/>
  <c r="I52" i="80"/>
  <c r="H52" i="80"/>
  <c r="G52" i="80"/>
  <c r="F52" i="80"/>
  <c r="E52" i="80"/>
  <c r="I51" i="80"/>
  <c r="H51" i="80"/>
  <c r="G51" i="80"/>
  <c r="F51" i="80"/>
  <c r="E51" i="80"/>
  <c r="I50" i="80"/>
  <c r="H50" i="80"/>
  <c r="G50" i="80"/>
  <c r="F50" i="80"/>
  <c r="E50" i="80"/>
  <c r="I49" i="80"/>
  <c r="H49" i="80"/>
  <c r="F49" i="80"/>
  <c r="E49" i="80"/>
  <c r="I47" i="80"/>
  <c r="H47" i="80"/>
  <c r="G47" i="80"/>
  <c r="F47" i="80"/>
  <c r="E47" i="80"/>
  <c r="I46" i="80"/>
  <c r="H46" i="80"/>
  <c r="G46" i="80"/>
  <c r="F46" i="80"/>
  <c r="E46" i="80"/>
  <c r="I45" i="80"/>
  <c r="H45" i="80"/>
  <c r="G45" i="80"/>
  <c r="F45" i="80"/>
  <c r="E45" i="80"/>
  <c r="I44" i="80"/>
  <c r="H44" i="80"/>
  <c r="G44" i="80"/>
  <c r="F44" i="80"/>
  <c r="E44" i="80"/>
  <c r="I43" i="80"/>
  <c r="H43" i="80"/>
  <c r="G43" i="80"/>
  <c r="F43" i="80"/>
  <c r="E43" i="80"/>
  <c r="I42" i="80"/>
  <c r="H42" i="80"/>
  <c r="G42" i="80"/>
  <c r="F42" i="80"/>
  <c r="E42" i="80"/>
  <c r="I41" i="80"/>
  <c r="H41" i="80"/>
  <c r="G41" i="80"/>
  <c r="F41" i="80"/>
  <c r="E41" i="80"/>
  <c r="I40" i="80"/>
  <c r="H40" i="80"/>
  <c r="G40" i="80"/>
  <c r="F40" i="80"/>
  <c r="E40" i="80"/>
  <c r="I39" i="80"/>
  <c r="H39" i="80"/>
  <c r="G39" i="80"/>
  <c r="F39" i="80"/>
  <c r="E39" i="80"/>
  <c r="I38" i="80"/>
  <c r="H38" i="80"/>
  <c r="G38" i="80"/>
  <c r="F38" i="80"/>
  <c r="E38" i="80"/>
  <c r="I37" i="80"/>
  <c r="H37" i="80"/>
  <c r="G37" i="80"/>
  <c r="F37" i="80"/>
  <c r="E37" i="80"/>
  <c r="I36" i="80"/>
  <c r="H36" i="80"/>
  <c r="G36" i="80"/>
  <c r="F36" i="80"/>
  <c r="E36" i="80"/>
  <c r="I35" i="80"/>
  <c r="H35" i="80"/>
  <c r="G35" i="80"/>
  <c r="F35" i="80"/>
  <c r="E35" i="80"/>
  <c r="I34" i="80"/>
  <c r="H34" i="80"/>
  <c r="G34" i="80"/>
  <c r="F34" i="80"/>
  <c r="E34" i="80"/>
  <c r="I33" i="80"/>
  <c r="H33" i="80"/>
  <c r="G33" i="80"/>
  <c r="F33" i="80"/>
  <c r="E33" i="80"/>
  <c r="I32" i="80"/>
  <c r="H32" i="80"/>
  <c r="G32" i="80"/>
  <c r="F32" i="80"/>
  <c r="E32" i="80"/>
  <c r="I31" i="80"/>
  <c r="H31" i="80"/>
  <c r="G31" i="80"/>
  <c r="F31" i="80"/>
  <c r="E31" i="80"/>
  <c r="I30" i="80"/>
  <c r="H30" i="80"/>
  <c r="G30" i="80"/>
  <c r="F30" i="80"/>
  <c r="E30" i="80"/>
  <c r="I29" i="80"/>
  <c r="H29" i="80"/>
  <c r="G29" i="80"/>
  <c r="F29" i="80"/>
  <c r="E29" i="80"/>
  <c r="I28" i="80"/>
  <c r="H28" i="80"/>
  <c r="G28" i="80"/>
  <c r="F28" i="80"/>
  <c r="E28" i="80"/>
  <c r="I27" i="80"/>
  <c r="H27" i="80"/>
  <c r="G27" i="80"/>
  <c r="F27" i="80"/>
  <c r="E27" i="80"/>
  <c r="I26" i="80"/>
  <c r="H26" i="80"/>
  <c r="F26" i="80"/>
  <c r="E26" i="80"/>
  <c r="I25" i="80"/>
  <c r="H25" i="80"/>
  <c r="F25" i="80"/>
  <c r="E25" i="80"/>
  <c r="I24" i="80"/>
  <c r="H24" i="80"/>
  <c r="G24" i="80"/>
  <c r="F24" i="80"/>
  <c r="E24" i="80"/>
  <c r="I23" i="80"/>
  <c r="H23" i="80"/>
  <c r="G23" i="80"/>
  <c r="F23" i="80"/>
  <c r="E23" i="80"/>
  <c r="I22" i="80"/>
  <c r="H22" i="80"/>
  <c r="G22" i="80"/>
  <c r="F22" i="80"/>
  <c r="E22" i="80"/>
  <c r="I21" i="80"/>
  <c r="H21" i="80"/>
  <c r="F21" i="80"/>
  <c r="E21" i="80"/>
  <c r="I20" i="80"/>
  <c r="H20" i="80"/>
  <c r="F20" i="80"/>
  <c r="E20" i="80"/>
  <c r="I19" i="80"/>
  <c r="H19" i="80"/>
  <c r="F19" i="80"/>
  <c r="E19" i="80"/>
  <c r="H18" i="80"/>
  <c r="G18" i="80"/>
  <c r="F18" i="80"/>
  <c r="E18" i="80"/>
  <c r="I17" i="80"/>
  <c r="H17" i="80"/>
  <c r="G17" i="80"/>
  <c r="F17" i="80"/>
  <c r="E17" i="80"/>
  <c r="I16" i="80"/>
  <c r="H16" i="80"/>
  <c r="G16" i="80"/>
  <c r="F16" i="80"/>
  <c r="E16" i="80"/>
  <c r="F79" i="76"/>
  <c r="G79" i="76"/>
  <c r="H79" i="76"/>
  <c r="I79" i="76"/>
  <c r="F80" i="76"/>
  <c r="G80" i="76"/>
  <c r="H80" i="76"/>
  <c r="I80" i="76"/>
  <c r="E79" i="76"/>
  <c r="E80" i="76"/>
  <c r="F74" i="76"/>
  <c r="G74" i="76"/>
  <c r="H74" i="76"/>
  <c r="I74" i="76"/>
  <c r="F75" i="76"/>
  <c r="G75" i="76"/>
  <c r="H75" i="76"/>
  <c r="I75" i="76"/>
  <c r="E74" i="76"/>
  <c r="E75" i="76"/>
  <c r="F43" i="76"/>
  <c r="G43" i="76"/>
  <c r="H43" i="76"/>
  <c r="I43" i="76"/>
  <c r="E43" i="76"/>
  <c r="F41" i="76"/>
  <c r="G41" i="76"/>
  <c r="H41" i="76"/>
  <c r="I41" i="76"/>
  <c r="E41" i="76"/>
  <c r="J74" i="78"/>
  <c r="K74" i="78"/>
  <c r="L74" i="78"/>
  <c r="M74" i="78"/>
  <c r="N74" i="78"/>
  <c r="J75" i="78"/>
  <c r="K75" i="78"/>
  <c r="L75" i="78"/>
  <c r="M75" i="78"/>
  <c r="N75" i="78"/>
  <c r="J76" i="78"/>
  <c r="K76" i="78"/>
  <c r="L76" i="78"/>
  <c r="M76" i="78"/>
  <c r="N76" i="78"/>
  <c r="J77" i="78"/>
  <c r="K77" i="78"/>
  <c r="L77" i="78"/>
  <c r="M77" i="78"/>
  <c r="N77" i="78"/>
  <c r="J78" i="78"/>
  <c r="K78" i="78"/>
  <c r="L78" i="78"/>
  <c r="M78" i="78"/>
  <c r="N78" i="78"/>
  <c r="J79" i="78"/>
  <c r="K79" i="78"/>
  <c r="L79" i="78"/>
  <c r="M79" i="78"/>
  <c r="N79" i="78"/>
  <c r="J80" i="78"/>
  <c r="K80" i="78"/>
  <c r="L80" i="78"/>
  <c r="M80" i="78"/>
  <c r="N80" i="78"/>
  <c r="J81" i="78"/>
  <c r="K81" i="78"/>
  <c r="L81" i="78"/>
  <c r="M81" i="78"/>
  <c r="N81" i="78"/>
  <c r="N73" i="78"/>
  <c r="M73" i="78"/>
  <c r="L73" i="78"/>
  <c r="K73" i="78"/>
  <c r="J73" i="78"/>
  <c r="J70" i="78"/>
  <c r="K70" i="78"/>
  <c r="L70" i="78"/>
  <c r="M70" i="78"/>
  <c r="N70" i="78"/>
  <c r="N69" i="78"/>
  <c r="M69" i="78"/>
  <c r="L69" i="78"/>
  <c r="K69" i="78"/>
  <c r="J69" i="78"/>
  <c r="J66" i="78"/>
  <c r="K66" i="78"/>
  <c r="L66" i="78"/>
  <c r="M66" i="78"/>
  <c r="N66" i="78"/>
  <c r="N65" i="78"/>
  <c r="M65" i="78"/>
  <c r="L65" i="78"/>
  <c r="K65" i="78"/>
  <c r="J65" i="78"/>
  <c r="N62" i="78"/>
  <c r="M62" i="78"/>
  <c r="L62" i="78"/>
  <c r="K62" i="78"/>
  <c r="J62" i="78"/>
  <c r="J32" i="78"/>
  <c r="K32" i="78"/>
  <c r="L32" i="78"/>
  <c r="M32" i="78"/>
  <c r="N32" i="78"/>
  <c r="J33" i="78"/>
  <c r="K33" i="78"/>
  <c r="L33" i="78"/>
  <c r="M33" i="78"/>
  <c r="N33" i="78"/>
  <c r="J34" i="78"/>
  <c r="K34" i="78"/>
  <c r="L34" i="78"/>
  <c r="M34" i="78"/>
  <c r="N34" i="78"/>
  <c r="J35" i="78"/>
  <c r="K35" i="78"/>
  <c r="L35" i="78"/>
  <c r="M35" i="78"/>
  <c r="N35" i="78"/>
  <c r="J36" i="78"/>
  <c r="K36" i="78"/>
  <c r="L36" i="78"/>
  <c r="M36" i="78"/>
  <c r="N36" i="78"/>
  <c r="J37" i="78"/>
  <c r="K37" i="78"/>
  <c r="L37" i="78"/>
  <c r="M37" i="78"/>
  <c r="N37" i="78"/>
  <c r="J38" i="78"/>
  <c r="K38" i="78"/>
  <c r="L38" i="78"/>
  <c r="M38" i="78"/>
  <c r="N38" i="78"/>
  <c r="J39" i="78"/>
  <c r="K39" i="78"/>
  <c r="L39" i="78"/>
  <c r="M39" i="78"/>
  <c r="N39" i="78"/>
  <c r="J40" i="78"/>
  <c r="K40" i="78"/>
  <c r="L40" i="78"/>
  <c r="M40" i="78"/>
  <c r="N40" i="78"/>
  <c r="J41" i="78"/>
  <c r="K41" i="78"/>
  <c r="L41" i="78"/>
  <c r="M41" i="78"/>
  <c r="N41" i="78"/>
  <c r="J42" i="78"/>
  <c r="K42" i="78"/>
  <c r="L42" i="78"/>
  <c r="M42" i="78"/>
  <c r="N42" i="78"/>
  <c r="J43" i="78"/>
  <c r="K43" i="78"/>
  <c r="L43" i="78"/>
  <c r="M43" i="78"/>
  <c r="N43" i="78"/>
  <c r="J44" i="78"/>
  <c r="K44" i="78"/>
  <c r="L44" i="78"/>
  <c r="M44" i="78"/>
  <c r="N44" i="78"/>
  <c r="J45" i="78"/>
  <c r="K45" i="78"/>
  <c r="L45" i="78"/>
  <c r="M45" i="78"/>
  <c r="N45" i="78"/>
  <c r="J46" i="78"/>
  <c r="K46" i="78"/>
  <c r="L46" i="78"/>
  <c r="M46" i="78"/>
  <c r="N46" i="78"/>
  <c r="J47" i="78"/>
  <c r="K47" i="78"/>
  <c r="L47" i="78"/>
  <c r="M47" i="78"/>
  <c r="N47" i="78"/>
  <c r="J48" i="78"/>
  <c r="K48" i="78"/>
  <c r="L48" i="78"/>
  <c r="M48" i="78"/>
  <c r="N48" i="78"/>
  <c r="J49" i="78"/>
  <c r="K49" i="78"/>
  <c r="L49" i="78"/>
  <c r="M49" i="78"/>
  <c r="N49" i="78"/>
  <c r="J50" i="78"/>
  <c r="K50" i="78"/>
  <c r="L50" i="78"/>
  <c r="M50" i="78"/>
  <c r="N50" i="78"/>
  <c r="J51" i="78"/>
  <c r="K51" i="78"/>
  <c r="L51" i="78"/>
  <c r="M51" i="78"/>
  <c r="N51" i="78"/>
  <c r="J52" i="78"/>
  <c r="K52" i="78"/>
  <c r="L52" i="78"/>
  <c r="M52" i="78"/>
  <c r="N52" i="78"/>
  <c r="J53" i="78"/>
  <c r="K53" i="78"/>
  <c r="L53" i="78"/>
  <c r="M53" i="78"/>
  <c r="N53" i="78"/>
  <c r="J54" i="78"/>
  <c r="K54" i="78"/>
  <c r="L54" i="78"/>
  <c r="M54" i="78"/>
  <c r="N54" i="78"/>
  <c r="J55" i="78"/>
  <c r="K55" i="78"/>
  <c r="L55" i="78"/>
  <c r="M55" i="78"/>
  <c r="N55" i="78"/>
  <c r="J56" i="78"/>
  <c r="K56" i="78"/>
  <c r="L56" i="78"/>
  <c r="M56" i="78"/>
  <c r="N56" i="78"/>
  <c r="J57" i="78"/>
  <c r="K57" i="78"/>
  <c r="L57" i="78"/>
  <c r="M57" i="78"/>
  <c r="N57" i="78"/>
  <c r="J58" i="78"/>
  <c r="K58" i="78"/>
  <c r="L58" i="78"/>
  <c r="M58" i="78"/>
  <c r="N58" i="78"/>
  <c r="J59" i="78"/>
  <c r="K59" i="78"/>
  <c r="L59" i="78"/>
  <c r="M59" i="78"/>
  <c r="N59" i="78"/>
  <c r="N31" i="78"/>
  <c r="M31" i="78"/>
  <c r="L31" i="78"/>
  <c r="K31" i="78"/>
  <c r="J31" i="78"/>
  <c r="K22" i="78"/>
  <c r="L22" i="78"/>
  <c r="M22" i="78"/>
  <c r="N22" i="78"/>
  <c r="K23" i="78"/>
  <c r="L23" i="78"/>
  <c r="M23" i="78"/>
  <c r="N23" i="78"/>
  <c r="J23" i="78"/>
  <c r="J22" i="78"/>
  <c r="E36" i="76"/>
  <c r="I73" i="77"/>
  <c r="H73" i="77"/>
  <c r="G73" i="77"/>
  <c r="F73" i="77"/>
  <c r="E73" i="77"/>
  <c r="I72" i="77"/>
  <c r="H72" i="77"/>
  <c r="F72" i="77"/>
  <c r="E72" i="77"/>
  <c r="H71" i="77"/>
  <c r="F71" i="77"/>
  <c r="E71" i="77"/>
  <c r="I70" i="77"/>
  <c r="H70" i="77"/>
  <c r="G70" i="77"/>
  <c r="F70" i="77"/>
  <c r="E70" i="77"/>
  <c r="I69" i="77"/>
  <c r="H69" i="77"/>
  <c r="G69" i="77"/>
  <c r="F69" i="77"/>
  <c r="E69" i="77"/>
  <c r="I66" i="77"/>
  <c r="H66" i="77"/>
  <c r="G66" i="77"/>
  <c r="F66" i="77"/>
  <c r="E66" i="77"/>
  <c r="I65" i="77"/>
  <c r="H65" i="77"/>
  <c r="G65" i="77"/>
  <c r="F65" i="77"/>
  <c r="E65" i="77"/>
  <c r="I62" i="77"/>
  <c r="H62" i="77"/>
  <c r="G62" i="77"/>
  <c r="F62" i="77"/>
  <c r="E62" i="77"/>
  <c r="I61" i="77"/>
  <c r="H61" i="77"/>
  <c r="F61" i="77"/>
  <c r="E61" i="77"/>
  <c r="I55" i="77"/>
  <c r="H55" i="77"/>
  <c r="G55" i="77"/>
  <c r="F55" i="77"/>
  <c r="E55" i="77"/>
  <c r="I54" i="77"/>
  <c r="H54" i="77"/>
  <c r="G54" i="77"/>
  <c r="F54" i="77"/>
  <c r="E54" i="77"/>
  <c r="I53" i="77"/>
  <c r="H53" i="77"/>
  <c r="G53" i="77"/>
  <c r="F53" i="77"/>
  <c r="E53" i="77"/>
  <c r="I52" i="77"/>
  <c r="H52" i="77"/>
  <c r="G52" i="77"/>
  <c r="F52" i="77"/>
  <c r="E52" i="77"/>
  <c r="I51" i="77"/>
  <c r="H51" i="77"/>
  <c r="G51" i="77"/>
  <c r="F51" i="77"/>
  <c r="E51" i="77"/>
  <c r="I50" i="77"/>
  <c r="H50" i="77"/>
  <c r="G50" i="77"/>
  <c r="F50" i="77"/>
  <c r="E50" i="77"/>
  <c r="I49" i="77"/>
  <c r="H49" i="77"/>
  <c r="G49" i="77"/>
  <c r="F49" i="77"/>
  <c r="E49" i="77"/>
  <c r="I48" i="77"/>
  <c r="H48" i="77"/>
  <c r="G48" i="77"/>
  <c r="F48" i="77"/>
  <c r="E48" i="77"/>
  <c r="I47" i="77"/>
  <c r="H47" i="77"/>
  <c r="G47" i="77"/>
  <c r="F47" i="77"/>
  <c r="E47" i="77"/>
  <c r="I46" i="77"/>
  <c r="H46" i="77"/>
  <c r="G46" i="77"/>
  <c r="F46" i="77"/>
  <c r="E46" i="77"/>
  <c r="I45" i="77"/>
  <c r="H45" i="77"/>
  <c r="G45" i="77"/>
  <c r="F45" i="77"/>
  <c r="E45" i="77"/>
  <c r="I44" i="77"/>
  <c r="H44" i="77"/>
  <c r="G44" i="77"/>
  <c r="F44" i="77"/>
  <c r="E44" i="77"/>
  <c r="I43" i="77"/>
  <c r="H43" i="77"/>
  <c r="G43" i="77"/>
  <c r="F43" i="77"/>
  <c r="E43" i="77"/>
  <c r="I42" i="77"/>
  <c r="H42" i="77"/>
  <c r="G42" i="77"/>
  <c r="F42" i="77"/>
  <c r="E42" i="77"/>
  <c r="I41" i="77"/>
  <c r="H41" i="77"/>
  <c r="G41" i="77"/>
  <c r="F41" i="77"/>
  <c r="E41" i="77"/>
  <c r="I40" i="77"/>
  <c r="H40" i="77"/>
  <c r="G40" i="77"/>
  <c r="F40" i="77"/>
  <c r="E40" i="77"/>
  <c r="I39" i="77"/>
  <c r="H39" i="77"/>
  <c r="G39" i="77"/>
  <c r="F39" i="77"/>
  <c r="E39" i="77"/>
  <c r="I38" i="77"/>
  <c r="H38" i="77"/>
  <c r="G38" i="77"/>
  <c r="F38" i="77"/>
  <c r="E38" i="77"/>
  <c r="I37" i="77"/>
  <c r="H37" i="77"/>
  <c r="F37" i="77"/>
  <c r="E37" i="77"/>
  <c r="I36" i="77"/>
  <c r="H36" i="77"/>
  <c r="F36" i="77"/>
  <c r="E36" i="77"/>
  <c r="I35" i="77"/>
  <c r="H35" i="77"/>
  <c r="G35" i="77"/>
  <c r="F35" i="77"/>
  <c r="E35" i="77"/>
  <c r="I34" i="77"/>
  <c r="H34" i="77"/>
  <c r="G34" i="77"/>
  <c r="F34" i="77"/>
  <c r="E34" i="77"/>
  <c r="I33" i="77"/>
  <c r="H33" i="77"/>
  <c r="G33" i="77"/>
  <c r="F33" i="77"/>
  <c r="E33" i="77"/>
  <c r="I32" i="77"/>
  <c r="H32" i="77"/>
  <c r="F32" i="77"/>
  <c r="E32" i="77"/>
  <c r="I31" i="77"/>
  <c r="H31" i="77"/>
  <c r="F31" i="77"/>
  <c r="E31" i="77"/>
  <c r="I30" i="77"/>
  <c r="H30" i="77"/>
  <c r="F30" i="77"/>
  <c r="E30" i="77"/>
  <c r="H29" i="77"/>
  <c r="G29" i="77"/>
  <c r="F29" i="77"/>
  <c r="E29" i="77"/>
  <c r="I21" i="77"/>
  <c r="H21" i="77"/>
  <c r="G21" i="77"/>
  <c r="F21" i="77"/>
  <c r="E21" i="77"/>
  <c r="I20" i="77"/>
  <c r="H20" i="77"/>
  <c r="G20" i="77"/>
  <c r="F20" i="77"/>
  <c r="E20" i="77"/>
  <c r="I18" i="77"/>
  <c r="H18" i="77"/>
  <c r="F18" i="77"/>
  <c r="E18" i="77"/>
  <c r="H17" i="77"/>
  <c r="F17" i="77"/>
  <c r="E17" i="77"/>
  <c r="E6" i="1" l="1"/>
  <c r="E7" i="1"/>
  <c r="E8" i="1"/>
  <c r="E9" i="1"/>
  <c r="E10" i="1"/>
  <c r="E5" i="1"/>
  <c r="D6" i="1"/>
  <c r="D7" i="1"/>
  <c r="D8" i="1"/>
  <c r="D9" i="1"/>
  <c r="D10" i="1"/>
  <c r="D5" i="1"/>
  <c r="D111" i="1"/>
  <c r="E111" i="1"/>
  <c r="D112" i="1"/>
  <c r="E112" i="1"/>
  <c r="D113" i="1"/>
  <c r="E113" i="1"/>
  <c r="D114" i="1"/>
  <c r="E114" i="1"/>
  <c r="D115" i="1"/>
  <c r="E115" i="1"/>
  <c r="E110" i="1"/>
  <c r="D110"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D92" i="1"/>
  <c r="E92" i="1"/>
  <c r="D93" i="1"/>
  <c r="E93" i="1"/>
  <c r="D94" i="1"/>
  <c r="E94" i="1"/>
  <c r="D95" i="1"/>
  <c r="E95" i="1"/>
  <c r="D96" i="1"/>
  <c r="E96" i="1"/>
  <c r="D97" i="1"/>
  <c r="E97" i="1"/>
  <c r="D98" i="1"/>
  <c r="E98" i="1"/>
  <c r="D99" i="1"/>
  <c r="E99" i="1"/>
  <c r="D100" i="1"/>
  <c r="E100" i="1"/>
  <c r="D101" i="1"/>
  <c r="E101" i="1"/>
  <c r="D102" i="1"/>
  <c r="E102" i="1"/>
  <c r="D103" i="1"/>
  <c r="E103" i="1"/>
  <c r="D104" i="1"/>
  <c r="E104" i="1"/>
  <c r="D105" i="1"/>
  <c r="E105" i="1"/>
  <c r="D106" i="1"/>
  <c r="E106" i="1"/>
  <c r="D107" i="1"/>
  <c r="E107" i="1"/>
  <c r="D108" i="1"/>
  <c r="E108" i="1"/>
  <c r="E71" i="1"/>
  <c r="D71" i="1"/>
  <c r="D70"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E31" i="1"/>
  <c r="D3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E11" i="1"/>
  <c r="D11" i="1"/>
  <c r="D3" i="1"/>
  <c r="E3" i="1"/>
  <c r="D4" i="1"/>
  <c r="E4" i="1"/>
  <c r="E2" i="1"/>
  <c r="D2" i="1"/>
  <c r="E76" i="76" l="1"/>
  <c r="F76" i="76"/>
  <c r="G76" i="76"/>
  <c r="H76" i="76"/>
  <c r="I76" i="76"/>
  <c r="F78" i="76"/>
  <c r="E81" i="76"/>
  <c r="F81" i="76"/>
  <c r="G81" i="76"/>
  <c r="H81" i="76"/>
  <c r="I81" i="76"/>
  <c r="F73" i="76"/>
  <c r="G73" i="76"/>
  <c r="H73" i="76"/>
  <c r="I73" i="76"/>
  <c r="E73" i="76"/>
  <c r="E70" i="76"/>
  <c r="F70" i="76"/>
  <c r="G70" i="76"/>
  <c r="H70" i="76"/>
  <c r="I70" i="76"/>
  <c r="F69" i="76"/>
  <c r="G69" i="76"/>
  <c r="H69" i="76"/>
  <c r="I69" i="76"/>
  <c r="E69" i="76"/>
  <c r="E66" i="76"/>
  <c r="F66" i="76"/>
  <c r="G66" i="76"/>
  <c r="H66" i="76"/>
  <c r="I66" i="76"/>
  <c r="F65" i="76"/>
  <c r="H65" i="76"/>
  <c r="I65" i="76"/>
  <c r="E65" i="76"/>
  <c r="E32" i="76"/>
  <c r="F32" i="76"/>
  <c r="H32" i="76"/>
  <c r="I32" i="76"/>
  <c r="E37" i="76"/>
  <c r="G37" i="76"/>
  <c r="H37" i="76"/>
  <c r="I37" i="76"/>
  <c r="I39" i="76"/>
  <c r="E42" i="76"/>
  <c r="F42" i="76"/>
  <c r="G42" i="76"/>
  <c r="H42" i="76"/>
  <c r="I42" i="76"/>
  <c r="E44" i="76"/>
  <c r="F44" i="76"/>
  <c r="G44" i="76"/>
  <c r="H44" i="76"/>
  <c r="I44" i="76"/>
  <c r="E45" i="76"/>
  <c r="F45" i="76"/>
  <c r="G45" i="76"/>
  <c r="H45" i="76"/>
  <c r="I45" i="76"/>
  <c r="E46" i="76"/>
  <c r="F46" i="76"/>
  <c r="G46" i="76"/>
  <c r="H46" i="76"/>
  <c r="I46" i="76"/>
  <c r="E47" i="76"/>
  <c r="F47" i="76"/>
  <c r="G47" i="76"/>
  <c r="H47" i="76"/>
  <c r="I47" i="76"/>
  <c r="E48" i="76"/>
  <c r="F48" i="76"/>
  <c r="G48" i="76"/>
  <c r="H48" i="76"/>
  <c r="I48" i="76"/>
  <c r="E49" i="76"/>
  <c r="F49" i="76"/>
  <c r="G49" i="76"/>
  <c r="H49" i="76"/>
  <c r="I49" i="76"/>
  <c r="E50" i="76"/>
  <c r="F50" i="76"/>
  <c r="G50" i="76"/>
  <c r="H50" i="76"/>
  <c r="I50" i="76"/>
  <c r="E51" i="76"/>
  <c r="F51" i="76"/>
  <c r="G51" i="76"/>
  <c r="H51" i="76"/>
  <c r="I51" i="76"/>
  <c r="E53" i="76"/>
  <c r="F53" i="76"/>
  <c r="G53" i="76"/>
  <c r="H53" i="76"/>
  <c r="I53" i="76"/>
  <c r="E54" i="76"/>
  <c r="F54" i="76"/>
  <c r="G54" i="76"/>
  <c r="H54" i="76"/>
  <c r="I54" i="76"/>
  <c r="E55" i="76"/>
  <c r="F55" i="76"/>
  <c r="G55" i="76"/>
  <c r="H55" i="76"/>
  <c r="I55" i="76"/>
  <c r="E56" i="76"/>
  <c r="F56" i="76"/>
  <c r="G56" i="76"/>
  <c r="H56" i="76"/>
  <c r="I56" i="76"/>
  <c r="I58" i="76"/>
  <c r="I59" i="76"/>
  <c r="F31" i="76"/>
  <c r="G31" i="76"/>
  <c r="H31" i="76"/>
  <c r="E31" i="76"/>
  <c r="E23" i="76"/>
  <c r="F23" i="76"/>
  <c r="G23" i="76"/>
  <c r="H23" i="76"/>
  <c r="I23" i="76"/>
  <c r="F22" i="76"/>
  <c r="G22" i="76"/>
  <c r="H22" i="76"/>
  <c r="I22" i="76"/>
  <c r="E22" i="76"/>
  <c r="F58" i="77"/>
  <c r="G58" i="77"/>
  <c r="H58" i="77"/>
  <c r="I58" i="77"/>
  <c r="E58" i="77"/>
  <c r="F6" i="77"/>
  <c r="I6" i="77"/>
  <c r="E6" i="77"/>
  <c r="F5" i="77"/>
  <c r="G5" i="77"/>
  <c r="I5" i="77"/>
  <c r="E5" i="77"/>
  <c r="E4" i="77"/>
  <c r="F4" i="77"/>
  <c r="G4" i="77"/>
  <c r="H4" i="77"/>
  <c r="I4" i="77"/>
  <c r="I62" i="76" l="1"/>
  <c r="H62" i="76"/>
  <c r="G62" i="76"/>
  <c r="F62" i="76"/>
  <c r="I78" i="76"/>
  <c r="E78" i="76"/>
  <c r="H78" i="76"/>
  <c r="F77" i="76"/>
  <c r="E77" i="76"/>
  <c r="H77" i="76"/>
  <c r="H52" i="76"/>
  <c r="E33" i="76"/>
  <c r="I34" i="76"/>
  <c r="H34" i="76"/>
  <c r="E34" i="76"/>
  <c r="F34" i="76"/>
  <c r="I33" i="76"/>
  <c r="H33" i="76"/>
  <c r="F33" i="76"/>
  <c r="G52" i="76"/>
  <c r="F52" i="76"/>
  <c r="I52" i="76"/>
  <c r="E52" i="76"/>
  <c r="G57" i="76"/>
  <c r="F57" i="76"/>
  <c r="I57" i="76"/>
  <c r="E57" i="76"/>
  <c r="H57" i="76"/>
  <c r="F58" i="76"/>
  <c r="E58" i="76"/>
  <c r="H58" i="76"/>
  <c r="G58" i="76"/>
  <c r="E59" i="76"/>
  <c r="H59" i="76"/>
  <c r="G59" i="76"/>
  <c r="F59" i="76"/>
  <c r="E40" i="76"/>
  <c r="I40" i="76"/>
  <c r="F36" i="76"/>
  <c r="G36" i="76"/>
  <c r="I36" i="76"/>
  <c r="H36" i="76"/>
  <c r="F35" i="76"/>
  <c r="G35" i="76"/>
  <c r="I35" i="76"/>
  <c r="E35" i="76"/>
  <c r="H35" i="76"/>
  <c r="H39" i="76"/>
  <c r="E39" i="76"/>
  <c r="E38" i="76"/>
  <c r="I38" i="76"/>
  <c r="H38" i="76"/>
  <c r="H48" i="75"/>
  <c r="G48" i="75"/>
  <c r="H47" i="75"/>
  <c r="G47" i="75"/>
  <c r="H46" i="75"/>
  <c r="G46" i="75"/>
  <c r="H45" i="75"/>
  <c r="G45" i="75"/>
  <c r="H44" i="75"/>
  <c r="G44" i="75"/>
  <c r="H43" i="75"/>
  <c r="G43" i="75"/>
  <c r="H42" i="75"/>
  <c r="G42" i="75"/>
  <c r="H41" i="75"/>
  <c r="G41" i="75"/>
  <c r="H40" i="75"/>
  <c r="G40" i="75"/>
  <c r="H39" i="75"/>
  <c r="G39" i="75"/>
  <c r="H38" i="75"/>
  <c r="G38" i="75"/>
  <c r="H37" i="75"/>
  <c r="G37" i="75"/>
  <c r="H36" i="75"/>
  <c r="G36" i="75"/>
  <c r="H35" i="75"/>
  <c r="G35" i="75"/>
  <c r="H34" i="75"/>
  <c r="G34" i="75"/>
  <c r="H33" i="75"/>
  <c r="G33" i="75"/>
  <c r="H32" i="75"/>
  <c r="G32" i="75"/>
  <c r="H31" i="75"/>
  <c r="G31" i="75"/>
  <c r="H30" i="75"/>
  <c r="G30" i="75"/>
  <c r="H29" i="75"/>
  <c r="G29" i="75"/>
  <c r="H28" i="75"/>
  <c r="G28" i="75"/>
  <c r="H27" i="75"/>
  <c r="G27" i="75"/>
  <c r="H26" i="75"/>
  <c r="G26" i="75"/>
  <c r="H25" i="75"/>
  <c r="G25" i="75"/>
  <c r="H24" i="75"/>
  <c r="G24" i="75"/>
  <c r="H23" i="75"/>
  <c r="G23" i="75"/>
  <c r="H22" i="75"/>
  <c r="G22" i="75"/>
  <c r="H21" i="75"/>
  <c r="G21" i="75"/>
  <c r="H20" i="75"/>
  <c r="G20" i="75"/>
  <c r="H19" i="75"/>
  <c r="G19" i="75"/>
  <c r="H18" i="75"/>
  <c r="G18" i="75"/>
  <c r="H17" i="75"/>
  <c r="G17" i="75"/>
  <c r="H16" i="75"/>
  <c r="G16" i="75"/>
  <c r="H15" i="75"/>
  <c r="G15" i="75"/>
  <c r="H14" i="75"/>
  <c r="G14" i="75"/>
  <c r="H13" i="75"/>
  <c r="G13" i="75"/>
  <c r="H12" i="75"/>
  <c r="G12" i="75"/>
  <c r="H11" i="75"/>
  <c r="G11" i="75"/>
  <c r="H4" i="75"/>
  <c r="G4" i="75"/>
  <c r="H3" i="75"/>
  <c r="G3" i="75"/>
  <c r="H2" i="75"/>
  <c r="G2" i="75"/>
  <c r="H48" i="74"/>
  <c r="G48" i="74"/>
  <c r="H47" i="74"/>
  <c r="G47" i="74"/>
  <c r="H46" i="74"/>
  <c r="G46" i="74"/>
  <c r="H45" i="74"/>
  <c r="G45" i="74"/>
  <c r="H44" i="74"/>
  <c r="G44" i="74"/>
  <c r="H43" i="74"/>
  <c r="G43" i="74"/>
  <c r="H42" i="74"/>
  <c r="G42" i="74"/>
  <c r="G41" i="74"/>
  <c r="H40" i="74"/>
  <c r="G40" i="74"/>
  <c r="H39" i="74"/>
  <c r="G39" i="74"/>
  <c r="H38" i="74"/>
  <c r="G38" i="74"/>
  <c r="H37" i="74"/>
  <c r="G37" i="74"/>
  <c r="H36" i="74"/>
  <c r="G36" i="74"/>
  <c r="H35" i="74"/>
  <c r="G35" i="74"/>
  <c r="H34" i="74"/>
  <c r="G34" i="74"/>
  <c r="H33" i="74"/>
  <c r="G33" i="74"/>
  <c r="H32" i="74"/>
  <c r="G32" i="74"/>
  <c r="H31" i="74"/>
  <c r="G31" i="74"/>
  <c r="H30" i="74"/>
  <c r="G30" i="74"/>
  <c r="H29" i="74"/>
  <c r="G29" i="74"/>
  <c r="H28" i="74"/>
  <c r="G28" i="74"/>
  <c r="H27" i="74"/>
  <c r="G27" i="74"/>
  <c r="H26" i="74"/>
  <c r="G26" i="74"/>
  <c r="H25" i="74"/>
  <c r="G25" i="74"/>
  <c r="H24" i="74"/>
  <c r="G24" i="74"/>
  <c r="H23" i="74"/>
  <c r="G23" i="74"/>
  <c r="H22" i="74"/>
  <c r="G22" i="74"/>
  <c r="H21" i="74"/>
  <c r="G21" i="74"/>
  <c r="H20" i="74"/>
  <c r="G20" i="74"/>
  <c r="H19" i="74"/>
  <c r="G19" i="74"/>
  <c r="H18" i="74"/>
  <c r="G18" i="74"/>
  <c r="H17" i="74"/>
  <c r="G17" i="74"/>
  <c r="H16" i="74"/>
  <c r="G16" i="74"/>
  <c r="H15" i="74"/>
  <c r="G15" i="74"/>
  <c r="H14" i="74"/>
  <c r="G14" i="74"/>
  <c r="H13" i="74"/>
  <c r="G13" i="74"/>
  <c r="H12" i="74"/>
  <c r="G12" i="74"/>
  <c r="H11" i="74"/>
  <c r="G11" i="74"/>
  <c r="H4" i="74"/>
  <c r="G4" i="74"/>
  <c r="H3" i="74"/>
  <c r="G3" i="74"/>
  <c r="H2" i="74"/>
  <c r="G2" i="74"/>
  <c r="I41" i="70" l="1"/>
  <c r="I48" i="70"/>
  <c r="H48" i="70"/>
  <c r="H47" i="70"/>
  <c r="I47" i="70"/>
  <c r="I46" i="70"/>
  <c r="H46" i="70"/>
  <c r="I45" i="70"/>
  <c r="H45" i="70"/>
  <c r="I44" i="70"/>
  <c r="H44" i="70"/>
  <c r="I43" i="70"/>
  <c r="H43" i="70"/>
  <c r="I42" i="70"/>
  <c r="H42" i="70"/>
  <c r="H41" i="70"/>
  <c r="I40" i="70"/>
  <c r="H40" i="70"/>
  <c r="I39" i="70"/>
  <c r="H39" i="70"/>
  <c r="I38" i="70"/>
  <c r="H38" i="70"/>
  <c r="I37" i="70"/>
  <c r="H37" i="70"/>
  <c r="I36" i="70"/>
  <c r="H36" i="70"/>
  <c r="I35" i="70"/>
  <c r="H35" i="70"/>
  <c r="I34" i="70"/>
  <c r="H34" i="70"/>
  <c r="I33" i="70"/>
  <c r="H33" i="70"/>
  <c r="I32" i="70"/>
  <c r="H32" i="70"/>
  <c r="I31" i="70"/>
  <c r="H31" i="70"/>
  <c r="I30" i="70"/>
  <c r="H30" i="70"/>
  <c r="I29" i="70"/>
  <c r="H29" i="70"/>
  <c r="I28" i="70"/>
  <c r="H28" i="70"/>
  <c r="I27" i="70"/>
  <c r="H27" i="70"/>
  <c r="I26" i="70"/>
  <c r="H26" i="70"/>
  <c r="I25" i="70"/>
  <c r="H25" i="70"/>
  <c r="I24" i="70"/>
  <c r="H24" i="70"/>
  <c r="I23" i="70"/>
  <c r="H23" i="70"/>
  <c r="I22" i="70"/>
  <c r="H22" i="70"/>
  <c r="I21" i="70"/>
  <c r="H21" i="70"/>
  <c r="I20" i="70"/>
  <c r="H20" i="70"/>
  <c r="I19" i="70"/>
  <c r="H19" i="70"/>
  <c r="I18" i="70"/>
  <c r="H18" i="70"/>
  <c r="I17" i="70"/>
  <c r="H17" i="70"/>
  <c r="I16" i="70"/>
  <c r="H16" i="70"/>
  <c r="I15" i="70"/>
  <c r="H15" i="70"/>
  <c r="I14" i="70"/>
  <c r="H14" i="70"/>
  <c r="I13" i="70"/>
  <c r="H13" i="70"/>
  <c r="I12" i="70"/>
  <c r="H12" i="70"/>
  <c r="I11" i="70"/>
  <c r="H11" i="70"/>
  <c r="I4" i="70"/>
  <c r="H4" i="70"/>
  <c r="I3" i="70"/>
  <c r="H3" i="70"/>
  <c r="I2" i="70"/>
  <c r="H2" i="70"/>
  <c r="I47" i="69"/>
  <c r="H48" i="69"/>
  <c r="I43" i="69"/>
  <c r="H39" i="69"/>
  <c r="H35" i="69"/>
  <c r="H31" i="69"/>
  <c r="H27" i="69"/>
  <c r="H23" i="69"/>
  <c r="H19" i="69"/>
  <c r="H15" i="69"/>
  <c r="H11" i="69"/>
  <c r="H2" i="69"/>
  <c r="I48" i="69"/>
  <c r="I46" i="69"/>
  <c r="H46" i="69"/>
  <c r="I45" i="69"/>
  <c r="H45" i="69"/>
  <c r="I44" i="69"/>
  <c r="H44" i="69"/>
  <c r="H43" i="69"/>
  <c r="I42" i="69"/>
  <c r="H42" i="69"/>
  <c r="H41" i="69"/>
  <c r="I40" i="69"/>
  <c r="H40" i="69"/>
  <c r="I39" i="69"/>
  <c r="I38" i="69"/>
  <c r="H38" i="69"/>
  <c r="I37" i="69"/>
  <c r="H37" i="69"/>
  <c r="I36" i="69"/>
  <c r="H36" i="69"/>
  <c r="I35" i="69"/>
  <c r="I34" i="69"/>
  <c r="H34" i="69"/>
  <c r="I33" i="69"/>
  <c r="H33" i="69"/>
  <c r="I32" i="69"/>
  <c r="H32" i="69"/>
  <c r="I31" i="69"/>
  <c r="I30" i="69"/>
  <c r="H30" i="69"/>
  <c r="I29" i="69"/>
  <c r="H29" i="69"/>
  <c r="I28" i="69"/>
  <c r="H28" i="69"/>
  <c r="I27" i="69"/>
  <c r="I26" i="69"/>
  <c r="H26" i="69"/>
  <c r="I25" i="69"/>
  <c r="H25" i="69"/>
  <c r="I24" i="69"/>
  <c r="H24" i="69"/>
  <c r="I23" i="69"/>
  <c r="I22" i="69"/>
  <c r="H22" i="69"/>
  <c r="I21" i="69"/>
  <c r="H21" i="69"/>
  <c r="I20" i="69"/>
  <c r="H20" i="69"/>
  <c r="I19" i="69"/>
  <c r="I18" i="69"/>
  <c r="H18" i="69"/>
  <c r="I17" i="69"/>
  <c r="H17" i="69"/>
  <c r="I16" i="69"/>
  <c r="H16" i="69"/>
  <c r="I15" i="69"/>
  <c r="I14" i="69"/>
  <c r="H14" i="69"/>
  <c r="I13" i="69"/>
  <c r="H13" i="69"/>
  <c r="I12" i="69"/>
  <c r="H12" i="69"/>
  <c r="I11" i="69"/>
  <c r="I4" i="69"/>
  <c r="H4" i="69"/>
  <c r="I3" i="69"/>
  <c r="H3" i="69"/>
  <c r="I2" i="69"/>
  <c r="O51" i="67"/>
  <c r="N51" i="67"/>
  <c r="M51" i="67"/>
  <c r="L51" i="67"/>
  <c r="K51" i="67"/>
  <c r="J51" i="67"/>
  <c r="H51" i="67"/>
  <c r="I51" i="67" s="1"/>
  <c r="G51" i="67"/>
  <c r="F51" i="67"/>
  <c r="E51" i="67"/>
  <c r="O50" i="67"/>
  <c r="N50" i="67"/>
  <c r="M50" i="67"/>
  <c r="L50" i="67"/>
  <c r="K50" i="67"/>
  <c r="J50" i="67"/>
  <c r="H50" i="67"/>
  <c r="G50" i="67"/>
  <c r="F50" i="67"/>
  <c r="E50" i="67"/>
  <c r="O49" i="67"/>
  <c r="N49" i="67"/>
  <c r="M49" i="67"/>
  <c r="L49" i="67"/>
  <c r="K49" i="67"/>
  <c r="J49" i="67"/>
  <c r="H49" i="67"/>
  <c r="I49" i="67" s="1"/>
  <c r="G49" i="67"/>
  <c r="F49" i="67"/>
  <c r="E49" i="67"/>
  <c r="O48" i="67"/>
  <c r="N48" i="67"/>
  <c r="M48" i="67"/>
  <c r="L48" i="67"/>
  <c r="K48" i="67"/>
  <c r="J48" i="67"/>
  <c r="H48" i="67"/>
  <c r="G48" i="67"/>
  <c r="F48" i="67"/>
  <c r="E48" i="67"/>
  <c r="O47" i="67"/>
  <c r="N47" i="67"/>
  <c r="M47" i="67"/>
  <c r="L47" i="67"/>
  <c r="K47" i="67"/>
  <c r="J47" i="67"/>
  <c r="H47" i="67"/>
  <c r="G47" i="67"/>
  <c r="F47" i="67"/>
  <c r="E47" i="67"/>
  <c r="O46" i="67"/>
  <c r="N46" i="67"/>
  <c r="M46" i="67"/>
  <c r="L46" i="67"/>
  <c r="K46" i="67"/>
  <c r="J46" i="67"/>
  <c r="H46" i="67"/>
  <c r="G46" i="67"/>
  <c r="F46" i="67"/>
  <c r="E46" i="67"/>
  <c r="O45" i="67"/>
  <c r="N45" i="67"/>
  <c r="M45" i="67"/>
  <c r="L45" i="67"/>
  <c r="K45" i="67"/>
  <c r="J45" i="67"/>
  <c r="H45" i="67"/>
  <c r="I45" i="67" s="1"/>
  <c r="G45" i="67"/>
  <c r="F45" i="67"/>
  <c r="E45" i="67"/>
  <c r="O44" i="67"/>
  <c r="N44" i="67"/>
  <c r="M44" i="67"/>
  <c r="L44" i="67"/>
  <c r="K44" i="67"/>
  <c r="J44" i="67"/>
  <c r="H44" i="67"/>
  <c r="G44" i="67"/>
  <c r="F44" i="67"/>
  <c r="E44" i="67"/>
  <c r="O42" i="67"/>
  <c r="N42" i="67"/>
  <c r="M42" i="67"/>
  <c r="L42" i="67"/>
  <c r="K42" i="67"/>
  <c r="J42" i="67"/>
  <c r="H42" i="67"/>
  <c r="G42" i="67"/>
  <c r="F42" i="67"/>
  <c r="E42" i="67"/>
  <c r="O41" i="67"/>
  <c r="N41" i="67"/>
  <c r="M41" i="67"/>
  <c r="L41" i="67"/>
  <c r="K41" i="67"/>
  <c r="J41" i="67"/>
  <c r="H41" i="67"/>
  <c r="I41" i="67" s="1"/>
  <c r="G41" i="67"/>
  <c r="F41" i="67"/>
  <c r="E41" i="67"/>
  <c r="O40" i="67"/>
  <c r="N40" i="67"/>
  <c r="M40" i="67"/>
  <c r="L40" i="67"/>
  <c r="K40" i="67"/>
  <c r="J40" i="67"/>
  <c r="H40" i="67"/>
  <c r="G40" i="67"/>
  <c r="F40" i="67"/>
  <c r="E40" i="67"/>
  <c r="O39" i="67"/>
  <c r="N39" i="67"/>
  <c r="M39" i="67"/>
  <c r="L39" i="67"/>
  <c r="K39" i="67"/>
  <c r="J39" i="67"/>
  <c r="H39" i="67"/>
  <c r="I39" i="67" s="1"/>
  <c r="G39" i="67"/>
  <c r="F39" i="67"/>
  <c r="E39" i="67"/>
  <c r="O38" i="67"/>
  <c r="N38" i="67"/>
  <c r="M38" i="67"/>
  <c r="L38" i="67"/>
  <c r="K38" i="67"/>
  <c r="J38" i="67"/>
  <c r="H38" i="67"/>
  <c r="G38" i="67"/>
  <c r="F38" i="67"/>
  <c r="E38" i="67"/>
  <c r="O37" i="67"/>
  <c r="N37" i="67"/>
  <c r="M37" i="67"/>
  <c r="L37" i="67"/>
  <c r="K37" i="67"/>
  <c r="J37" i="67"/>
  <c r="H37" i="67"/>
  <c r="I37" i="67" s="1"/>
  <c r="G37" i="67"/>
  <c r="F37" i="67"/>
  <c r="E37" i="67"/>
  <c r="O36" i="67"/>
  <c r="N36" i="67"/>
  <c r="M36" i="67"/>
  <c r="L36" i="67"/>
  <c r="K36" i="67"/>
  <c r="J36" i="67"/>
  <c r="H36" i="67"/>
  <c r="I36" i="67" s="1"/>
  <c r="G36" i="67"/>
  <c r="F36" i="67"/>
  <c r="E36" i="67"/>
  <c r="O35" i="67"/>
  <c r="N35" i="67"/>
  <c r="M35" i="67"/>
  <c r="L35" i="67"/>
  <c r="K35" i="67"/>
  <c r="J35" i="67"/>
  <c r="H35" i="67"/>
  <c r="I35" i="67" s="1"/>
  <c r="G35" i="67"/>
  <c r="F35" i="67"/>
  <c r="E35" i="67"/>
  <c r="O34" i="67"/>
  <c r="N34" i="67"/>
  <c r="M34" i="67"/>
  <c r="L34" i="67"/>
  <c r="K34" i="67"/>
  <c r="J34" i="67"/>
  <c r="H34" i="67"/>
  <c r="I34" i="67" s="1"/>
  <c r="G34" i="67"/>
  <c r="F34" i="67"/>
  <c r="E34" i="67"/>
  <c r="O33" i="67"/>
  <c r="N33" i="67"/>
  <c r="M33" i="67"/>
  <c r="L33" i="67"/>
  <c r="K33" i="67"/>
  <c r="J33" i="67"/>
  <c r="I33" i="67"/>
  <c r="H33" i="67"/>
  <c r="G33" i="67"/>
  <c r="F33" i="67"/>
  <c r="E33" i="67"/>
  <c r="O32" i="67"/>
  <c r="N32" i="67"/>
  <c r="M32" i="67"/>
  <c r="L32" i="67"/>
  <c r="K32" i="67"/>
  <c r="J32" i="67"/>
  <c r="H32" i="67"/>
  <c r="G32" i="67"/>
  <c r="F32" i="67"/>
  <c r="E32" i="67"/>
  <c r="O30" i="67"/>
  <c r="N30" i="67"/>
  <c r="M30" i="67"/>
  <c r="L30" i="67"/>
  <c r="K30" i="67"/>
  <c r="J30" i="67"/>
  <c r="H30" i="67"/>
  <c r="G30" i="67"/>
  <c r="F30" i="67"/>
  <c r="E30" i="67"/>
  <c r="O29" i="67"/>
  <c r="N29" i="67"/>
  <c r="M29" i="67"/>
  <c r="L29" i="67"/>
  <c r="K29" i="67"/>
  <c r="J29" i="67"/>
  <c r="H29" i="67"/>
  <c r="G29" i="67"/>
  <c r="F29" i="67"/>
  <c r="E29" i="67"/>
  <c r="O28" i="67"/>
  <c r="N28" i="67"/>
  <c r="M28" i="67"/>
  <c r="L28" i="67"/>
  <c r="K28" i="67"/>
  <c r="J28" i="67"/>
  <c r="I28" i="67" s="1"/>
  <c r="H28" i="67"/>
  <c r="G28" i="67"/>
  <c r="F28" i="67"/>
  <c r="E28" i="67"/>
  <c r="O27" i="67"/>
  <c r="N27" i="67"/>
  <c r="M27" i="67"/>
  <c r="L27" i="67"/>
  <c r="K27" i="67"/>
  <c r="J27" i="67"/>
  <c r="H27" i="67"/>
  <c r="G27" i="67"/>
  <c r="F27" i="67"/>
  <c r="E27" i="67"/>
  <c r="O26" i="67"/>
  <c r="N26" i="67"/>
  <c r="M26" i="67"/>
  <c r="L26" i="67"/>
  <c r="K26" i="67"/>
  <c r="J26" i="67"/>
  <c r="H26" i="67"/>
  <c r="G26" i="67"/>
  <c r="F26" i="67"/>
  <c r="E26" i="67"/>
  <c r="O25" i="67"/>
  <c r="N25" i="67"/>
  <c r="M25" i="67"/>
  <c r="L25" i="67"/>
  <c r="K25" i="67"/>
  <c r="J25" i="67"/>
  <c r="H25" i="67"/>
  <c r="G25" i="67"/>
  <c r="F25" i="67"/>
  <c r="E25" i="67"/>
  <c r="O24" i="67"/>
  <c r="N24" i="67"/>
  <c r="M24" i="67"/>
  <c r="L24" i="67"/>
  <c r="K24" i="67"/>
  <c r="J24" i="67"/>
  <c r="I24" i="67" s="1"/>
  <c r="H24" i="67"/>
  <c r="G24" i="67"/>
  <c r="F24" i="67"/>
  <c r="E24" i="67"/>
  <c r="O23" i="67"/>
  <c r="N23" i="67"/>
  <c r="M23" i="67"/>
  <c r="L23" i="67"/>
  <c r="K23" i="67"/>
  <c r="J23" i="67"/>
  <c r="H23" i="67"/>
  <c r="G23" i="67"/>
  <c r="F23" i="67"/>
  <c r="E23" i="67"/>
  <c r="O22" i="67"/>
  <c r="N22" i="67"/>
  <c r="M22" i="67"/>
  <c r="L22" i="67"/>
  <c r="K22" i="67"/>
  <c r="J22" i="67"/>
  <c r="H22" i="67"/>
  <c r="G22" i="67"/>
  <c r="F22" i="67"/>
  <c r="E22" i="67"/>
  <c r="O21" i="67"/>
  <c r="N21" i="67"/>
  <c r="M21" i="67"/>
  <c r="L21" i="67"/>
  <c r="K21" i="67"/>
  <c r="J21" i="67"/>
  <c r="H21" i="67"/>
  <c r="G21" i="67"/>
  <c r="F21" i="67"/>
  <c r="E21" i="67"/>
  <c r="O20" i="67"/>
  <c r="N20" i="67"/>
  <c r="M20" i="67"/>
  <c r="L20" i="67"/>
  <c r="K20" i="67"/>
  <c r="J20" i="67"/>
  <c r="H20" i="67"/>
  <c r="G20" i="67"/>
  <c r="F20" i="67"/>
  <c r="E20" i="67"/>
  <c r="O19" i="67"/>
  <c r="N19" i="67"/>
  <c r="M19" i="67"/>
  <c r="L19" i="67"/>
  <c r="K19" i="67"/>
  <c r="J19" i="67"/>
  <c r="H19" i="67"/>
  <c r="G19" i="67"/>
  <c r="F19" i="67"/>
  <c r="E19" i="67"/>
  <c r="O18" i="67"/>
  <c r="N18" i="67"/>
  <c r="M18" i="67"/>
  <c r="L18" i="67"/>
  <c r="K18" i="67"/>
  <c r="J18" i="67"/>
  <c r="H18" i="67"/>
  <c r="G18" i="67"/>
  <c r="F18" i="67"/>
  <c r="E18" i="67"/>
  <c r="O17" i="67"/>
  <c r="N17" i="67"/>
  <c r="M17" i="67"/>
  <c r="L17" i="67"/>
  <c r="K17" i="67"/>
  <c r="J17" i="67"/>
  <c r="H17" i="67"/>
  <c r="G17" i="67"/>
  <c r="F17" i="67"/>
  <c r="E17" i="67"/>
  <c r="O16" i="67"/>
  <c r="N16" i="67"/>
  <c r="M16" i="67"/>
  <c r="L16" i="67"/>
  <c r="K16" i="67"/>
  <c r="J16" i="67"/>
  <c r="H16" i="67"/>
  <c r="I16" i="67" s="1"/>
  <c r="G16" i="67"/>
  <c r="F16" i="67"/>
  <c r="E16" i="67"/>
  <c r="O15" i="67"/>
  <c r="N15" i="67"/>
  <c r="M15" i="67"/>
  <c r="L15" i="67"/>
  <c r="K15" i="67"/>
  <c r="J15" i="67"/>
  <c r="H15" i="67"/>
  <c r="G15" i="67"/>
  <c r="F15" i="67"/>
  <c r="E15" i="67"/>
  <c r="O14" i="67"/>
  <c r="N14" i="67"/>
  <c r="M14" i="67"/>
  <c r="L14" i="67"/>
  <c r="K14" i="67"/>
  <c r="J14" i="67"/>
  <c r="H14" i="67"/>
  <c r="G14" i="67"/>
  <c r="F14" i="67"/>
  <c r="E14" i="67"/>
  <c r="O13" i="67"/>
  <c r="N13" i="67"/>
  <c r="M13" i="67"/>
  <c r="L13" i="67"/>
  <c r="K13" i="67"/>
  <c r="J13" i="67"/>
  <c r="H13" i="67"/>
  <c r="G13" i="67"/>
  <c r="F13" i="67"/>
  <c r="E13" i="67"/>
  <c r="O12" i="67"/>
  <c r="N12" i="67"/>
  <c r="M12" i="67"/>
  <c r="L12" i="67"/>
  <c r="K12" i="67"/>
  <c r="J12" i="67"/>
  <c r="H12" i="67"/>
  <c r="I12" i="67" s="1"/>
  <c r="G12" i="67"/>
  <c r="F12" i="67"/>
  <c r="E12" i="67"/>
  <c r="I11" i="67"/>
  <c r="I10" i="67"/>
  <c r="I9" i="67"/>
  <c r="I8" i="67"/>
  <c r="I7" i="67"/>
  <c r="I6" i="67"/>
  <c r="O5" i="67"/>
  <c r="N5" i="67"/>
  <c r="M5" i="67"/>
  <c r="L5" i="67"/>
  <c r="K5" i="67"/>
  <c r="J5" i="67"/>
  <c r="H5" i="67"/>
  <c r="I5" i="67" s="1"/>
  <c r="G5" i="67"/>
  <c r="F5" i="67"/>
  <c r="E5" i="67"/>
  <c r="O4" i="67"/>
  <c r="N4" i="67"/>
  <c r="M4" i="67"/>
  <c r="L4" i="67"/>
  <c r="K4" i="67"/>
  <c r="J4" i="67"/>
  <c r="I4" i="67"/>
  <c r="H4" i="67"/>
  <c r="G4" i="67"/>
  <c r="F4" i="67"/>
  <c r="E4" i="67"/>
  <c r="O3" i="67"/>
  <c r="N3" i="67"/>
  <c r="M3" i="67"/>
  <c r="L3" i="67"/>
  <c r="K3" i="67"/>
  <c r="J3" i="67"/>
  <c r="H3" i="67"/>
  <c r="G3" i="67"/>
  <c r="F3" i="67"/>
  <c r="E3" i="67"/>
  <c r="L31" i="31"/>
  <c r="L4" i="31"/>
  <c r="M4" i="31"/>
  <c r="N4" i="31"/>
  <c r="O4" i="31"/>
  <c r="L5" i="31"/>
  <c r="M5" i="31"/>
  <c r="N5" i="31"/>
  <c r="O5" i="31"/>
  <c r="L6" i="31"/>
  <c r="M6" i="31"/>
  <c r="N6" i="31"/>
  <c r="O6" i="31"/>
  <c r="L15" i="31"/>
  <c r="M15" i="31"/>
  <c r="N15" i="31"/>
  <c r="O15" i="31"/>
  <c r="L16" i="31"/>
  <c r="M16" i="31"/>
  <c r="N16" i="31"/>
  <c r="O16" i="31"/>
  <c r="L18" i="31"/>
  <c r="M18" i="31"/>
  <c r="N18" i="31"/>
  <c r="O18" i="31"/>
  <c r="L19" i="31"/>
  <c r="M19" i="31"/>
  <c r="N19" i="31"/>
  <c r="O19" i="31"/>
  <c r="L21" i="31"/>
  <c r="M21" i="31"/>
  <c r="N21" i="31"/>
  <c r="O21" i="31"/>
  <c r="L22" i="31"/>
  <c r="M22" i="31"/>
  <c r="N22" i="31"/>
  <c r="O22" i="31"/>
  <c r="L24" i="31"/>
  <c r="M24" i="31"/>
  <c r="N24" i="31"/>
  <c r="O24" i="31"/>
  <c r="L25" i="31"/>
  <c r="M25" i="31"/>
  <c r="N25" i="31"/>
  <c r="O25" i="31"/>
  <c r="L26" i="31"/>
  <c r="M26" i="31"/>
  <c r="N26" i="31"/>
  <c r="O26" i="31"/>
  <c r="L27" i="31"/>
  <c r="M27" i="31"/>
  <c r="N27" i="31"/>
  <c r="O27" i="31"/>
  <c r="L28" i="31"/>
  <c r="M28" i="31"/>
  <c r="N28" i="31"/>
  <c r="O28" i="31"/>
  <c r="L29" i="31"/>
  <c r="M29" i="31"/>
  <c r="N29" i="31"/>
  <c r="O29" i="31"/>
  <c r="M31" i="31"/>
  <c r="N31" i="31"/>
  <c r="O31" i="31"/>
  <c r="L32" i="31"/>
  <c r="M32" i="31"/>
  <c r="N32" i="31"/>
  <c r="O32" i="31"/>
  <c r="L33" i="31"/>
  <c r="M33" i="31"/>
  <c r="N33" i="31"/>
  <c r="O33" i="31"/>
  <c r="L34" i="31"/>
  <c r="M34" i="31"/>
  <c r="N34" i="31"/>
  <c r="O34" i="31"/>
  <c r="L35" i="31"/>
  <c r="M35" i="31"/>
  <c r="N35" i="31"/>
  <c r="O35" i="31"/>
  <c r="L36" i="31"/>
  <c r="M36" i="31"/>
  <c r="N36" i="31"/>
  <c r="O36" i="31"/>
  <c r="L37" i="31"/>
  <c r="M37" i="31"/>
  <c r="N37" i="31"/>
  <c r="O37" i="31"/>
  <c r="L40" i="31"/>
  <c r="M40" i="31"/>
  <c r="N40" i="31"/>
  <c r="O40" i="31"/>
  <c r="L41" i="31"/>
  <c r="M41" i="31"/>
  <c r="N41" i="31"/>
  <c r="O41" i="31"/>
  <c r="L42" i="31"/>
  <c r="M42" i="31"/>
  <c r="N42" i="31"/>
  <c r="O42" i="31"/>
  <c r="L43" i="31"/>
  <c r="M43" i="31"/>
  <c r="N43" i="31"/>
  <c r="O43" i="31"/>
  <c r="L44" i="31"/>
  <c r="M44" i="31"/>
  <c r="N44" i="31"/>
  <c r="O44" i="31"/>
  <c r="L46" i="31"/>
  <c r="M46" i="31"/>
  <c r="N46" i="31"/>
  <c r="O46" i="31"/>
  <c r="L47" i="31"/>
  <c r="M47" i="31"/>
  <c r="N47" i="31"/>
  <c r="O47" i="31"/>
  <c r="L48" i="31"/>
  <c r="M48" i="31"/>
  <c r="N48" i="31"/>
  <c r="O48" i="31"/>
  <c r="L49" i="31"/>
  <c r="M49" i="31"/>
  <c r="N49" i="31"/>
  <c r="O49" i="31"/>
  <c r="L50" i="31"/>
  <c r="M50" i="31"/>
  <c r="N50" i="31"/>
  <c r="O50" i="31"/>
  <c r="L51" i="31"/>
  <c r="M51" i="31"/>
  <c r="N51" i="31"/>
  <c r="O51" i="31"/>
  <c r="L54" i="31"/>
  <c r="M54" i="31"/>
  <c r="N54" i="31"/>
  <c r="O54" i="31"/>
  <c r="L55" i="31"/>
  <c r="M55" i="31"/>
  <c r="N55" i="31"/>
  <c r="O55" i="31"/>
  <c r="L57" i="31"/>
  <c r="M57" i="31"/>
  <c r="N57" i="31"/>
  <c r="O57" i="31"/>
  <c r="L58" i="31"/>
  <c r="M58" i="31"/>
  <c r="N58" i="31"/>
  <c r="O58" i="31"/>
  <c r="L60" i="31"/>
  <c r="M60" i="31"/>
  <c r="N60" i="31"/>
  <c r="O60" i="31"/>
  <c r="L61" i="31"/>
  <c r="M61" i="31"/>
  <c r="N61" i="31"/>
  <c r="O61" i="31"/>
  <c r="L62" i="31"/>
  <c r="M62" i="31"/>
  <c r="N62" i="31"/>
  <c r="O62" i="31"/>
  <c r="L63" i="31"/>
  <c r="M63" i="31"/>
  <c r="N63" i="31"/>
  <c r="O63" i="31"/>
  <c r="I3" i="67" l="1"/>
  <c r="I17" i="67"/>
  <c r="I25" i="67"/>
  <c r="I27" i="67"/>
  <c r="I29" i="67"/>
  <c r="I46" i="67"/>
  <c r="I18" i="67"/>
  <c r="I20" i="67"/>
  <c r="I26" i="67"/>
  <c r="I38" i="67"/>
  <c r="H47" i="69"/>
  <c r="I13" i="67"/>
  <c r="I15" i="67"/>
  <c r="I22" i="67"/>
  <c r="I32" i="67"/>
  <c r="I42" i="67"/>
  <c r="I19" i="67"/>
  <c r="I44" i="67"/>
  <c r="I47" i="67"/>
  <c r="I14" i="67"/>
  <c r="I21" i="67"/>
  <c r="I23" i="67"/>
  <c r="I30" i="67"/>
  <c r="I40" i="67"/>
  <c r="I48" i="67"/>
  <c r="I50" i="67"/>
  <c r="Z339" i="53"/>
  <c r="U339" i="53"/>
  <c r="Q503" i="60" l="1"/>
  <c r="L503" i="60"/>
  <c r="Q502" i="60"/>
  <c r="L502" i="60"/>
  <c r="Q501" i="60"/>
  <c r="L501" i="60"/>
  <c r="Q500" i="60"/>
  <c r="L500" i="60"/>
  <c r="Q499" i="60"/>
  <c r="L499" i="60"/>
  <c r="Q498" i="60"/>
  <c r="L498" i="60"/>
  <c r="Q497" i="60"/>
  <c r="L497" i="60"/>
  <c r="Q496" i="60"/>
  <c r="L496" i="60"/>
  <c r="Z495" i="60"/>
  <c r="Q495" i="60" s="1"/>
  <c r="Y495" i="60"/>
  <c r="X495" i="60"/>
  <c r="U495" i="60"/>
  <c r="T495" i="60"/>
  <c r="P495" i="60"/>
  <c r="O495" i="60"/>
  <c r="Q494" i="60"/>
  <c r="L494" i="60"/>
  <c r="Q493" i="60"/>
  <c r="L493" i="60"/>
  <c r="Q492" i="60"/>
  <c r="L492" i="60"/>
  <c r="Q491" i="60"/>
  <c r="L491" i="60"/>
  <c r="Q490" i="60"/>
  <c r="L490" i="60"/>
  <c r="Q489" i="60"/>
  <c r="L489" i="60"/>
  <c r="Q488" i="60"/>
  <c r="L488" i="60"/>
  <c r="Q487" i="60"/>
  <c r="L487" i="60"/>
  <c r="Q486" i="60"/>
  <c r="L486" i="60"/>
  <c r="Q485" i="60"/>
  <c r="L485" i="60"/>
  <c r="Q484" i="60"/>
  <c r="L484" i="60"/>
  <c r="Z483" i="60"/>
  <c r="Y483" i="60"/>
  <c r="X483" i="60"/>
  <c r="V483" i="60"/>
  <c r="R483" i="60"/>
  <c r="U483" i="60" s="1"/>
  <c r="Q483" i="60"/>
  <c r="O483" i="60"/>
  <c r="M483" i="60"/>
  <c r="L483" i="60" s="1"/>
  <c r="Q482" i="60"/>
  <c r="L482" i="60"/>
  <c r="Q481" i="60"/>
  <c r="L481" i="60"/>
  <c r="Q480" i="60"/>
  <c r="L480" i="60"/>
  <c r="Q479" i="60"/>
  <c r="L479" i="60"/>
  <c r="Q478" i="60"/>
  <c r="L478" i="60"/>
  <c r="Q477" i="60"/>
  <c r="L477" i="60"/>
  <c r="Q476" i="60"/>
  <c r="L476" i="60"/>
  <c r="Q475" i="60"/>
  <c r="L475" i="60"/>
  <c r="Q474" i="60"/>
  <c r="L474" i="60"/>
  <c r="Q473" i="60"/>
  <c r="L473" i="60"/>
  <c r="Q472" i="60"/>
  <c r="L472" i="60"/>
  <c r="Z471" i="60"/>
  <c r="Q471" i="60" s="1"/>
  <c r="V471" i="60"/>
  <c r="Y471" i="60" s="1"/>
  <c r="R471" i="60"/>
  <c r="U471" i="60" s="1"/>
  <c r="M471" i="60"/>
  <c r="L471" i="60" s="1"/>
  <c r="Q470" i="60"/>
  <c r="L470" i="60"/>
  <c r="Q469" i="60"/>
  <c r="L469" i="60"/>
  <c r="Q468" i="60"/>
  <c r="L468" i="60"/>
  <c r="Q467" i="60"/>
  <c r="L467" i="60"/>
  <c r="Q466" i="60"/>
  <c r="L466" i="60"/>
  <c r="Q465" i="60"/>
  <c r="L465" i="60"/>
  <c r="Q464" i="60"/>
  <c r="L464" i="60"/>
  <c r="Q463" i="60"/>
  <c r="L463" i="60"/>
  <c r="Q462" i="60"/>
  <c r="L462" i="60"/>
  <c r="Q461" i="60"/>
  <c r="L461" i="60"/>
  <c r="Q460" i="60"/>
  <c r="L460" i="60"/>
  <c r="Q458" i="60"/>
  <c r="L458" i="60"/>
  <c r="Q457" i="60"/>
  <c r="L457" i="60"/>
  <c r="Q456" i="60"/>
  <c r="L456" i="60"/>
  <c r="Q455" i="60"/>
  <c r="L455" i="60"/>
  <c r="Q454" i="60"/>
  <c r="L454" i="60"/>
  <c r="Q453" i="60"/>
  <c r="L453" i="60"/>
  <c r="Q452" i="60"/>
  <c r="L452" i="60"/>
  <c r="Q451" i="60"/>
  <c r="L451" i="60"/>
  <c r="Q450" i="60"/>
  <c r="L450" i="60"/>
  <c r="Q449" i="60"/>
  <c r="L449" i="60"/>
  <c r="Q448" i="60"/>
  <c r="L448" i="60"/>
  <c r="Q446" i="60"/>
  <c r="L446" i="60"/>
  <c r="Q445" i="60"/>
  <c r="L445" i="60"/>
  <c r="Q444" i="60"/>
  <c r="L444" i="60"/>
  <c r="Q443" i="60"/>
  <c r="L443" i="60"/>
  <c r="Q442" i="60"/>
  <c r="L442" i="60"/>
  <c r="Q441" i="60"/>
  <c r="L441" i="60"/>
  <c r="Q440" i="60"/>
  <c r="L440" i="60"/>
  <c r="Q439" i="60"/>
  <c r="L439" i="60"/>
  <c r="Q438" i="60"/>
  <c r="L438" i="60"/>
  <c r="Q437" i="60"/>
  <c r="L437" i="60"/>
  <c r="Q436" i="60"/>
  <c r="L436" i="60"/>
  <c r="O435" i="60"/>
  <c r="Q434" i="60"/>
  <c r="L434" i="60"/>
  <c r="Q433" i="60"/>
  <c r="L433" i="60"/>
  <c r="Q432" i="60"/>
  <c r="L432" i="60"/>
  <c r="Q431" i="60"/>
  <c r="L431" i="60"/>
  <c r="Q430" i="60"/>
  <c r="L430" i="60"/>
  <c r="Q429" i="60"/>
  <c r="L429" i="60"/>
  <c r="Q428" i="60"/>
  <c r="L428" i="60"/>
  <c r="Q427" i="60"/>
  <c r="L427" i="60"/>
  <c r="Q426" i="60"/>
  <c r="L426" i="60"/>
  <c r="Q425" i="60"/>
  <c r="L425" i="60"/>
  <c r="Q424" i="60"/>
  <c r="L424" i="60"/>
  <c r="Z423" i="60"/>
  <c r="V423" i="60"/>
  <c r="Y423" i="60" s="1"/>
  <c r="R423" i="60"/>
  <c r="U423" i="60" s="1"/>
  <c r="Q423" i="60"/>
  <c r="M423" i="60"/>
  <c r="L423" i="60" s="1"/>
  <c r="Q422" i="60"/>
  <c r="L422" i="60"/>
  <c r="Q421" i="60"/>
  <c r="L421" i="60"/>
  <c r="Q420" i="60"/>
  <c r="L420" i="60"/>
  <c r="Q419" i="60"/>
  <c r="L419" i="60"/>
  <c r="Q418" i="60"/>
  <c r="L418" i="60"/>
  <c r="Q417" i="60"/>
  <c r="L417" i="60"/>
  <c r="Q416" i="60"/>
  <c r="L416" i="60"/>
  <c r="Q415" i="60"/>
  <c r="L415" i="60"/>
  <c r="Q414" i="60"/>
  <c r="L414" i="60"/>
  <c r="Q413" i="60"/>
  <c r="L413" i="60"/>
  <c r="Q412" i="60"/>
  <c r="L412" i="60"/>
  <c r="Z411" i="60"/>
  <c r="Q411" i="60" s="1"/>
  <c r="V411" i="60"/>
  <c r="Y411" i="60" s="1"/>
  <c r="U411" i="60"/>
  <c r="T411" i="60"/>
  <c r="R411" i="60"/>
  <c r="M411" i="60"/>
  <c r="L411" i="60" s="1"/>
  <c r="Q410" i="60"/>
  <c r="L410" i="60"/>
  <c r="V399" i="60"/>
  <c r="X399" i="60" s="1"/>
  <c r="R399" i="60"/>
  <c r="M399" i="60"/>
  <c r="L399" i="60" s="1"/>
  <c r="K399" i="60"/>
  <c r="Z399" i="60" s="1"/>
  <c r="Q399" i="60" s="1"/>
  <c r="Q398" i="60"/>
  <c r="L398" i="60"/>
  <c r="Q397" i="60"/>
  <c r="L397" i="60"/>
  <c r="Q396" i="60"/>
  <c r="L396" i="60"/>
  <c r="Q395" i="60"/>
  <c r="L395" i="60"/>
  <c r="Q394" i="60"/>
  <c r="L394" i="60"/>
  <c r="Q393" i="60"/>
  <c r="L393" i="60"/>
  <c r="Q392" i="60"/>
  <c r="L392" i="60"/>
  <c r="Q391" i="60"/>
  <c r="L391" i="60"/>
  <c r="Q390" i="60"/>
  <c r="L390" i="60"/>
  <c r="Q389" i="60"/>
  <c r="L389" i="60"/>
  <c r="Q388" i="60"/>
  <c r="L388" i="60"/>
  <c r="Z387" i="60"/>
  <c r="V387" i="60"/>
  <c r="Y387" i="60" s="1"/>
  <c r="R387" i="60"/>
  <c r="U387" i="60" s="1"/>
  <c r="Q387" i="60"/>
  <c r="M387" i="60"/>
  <c r="P387" i="60" s="1"/>
  <c r="L387" i="60"/>
  <c r="Q386" i="60"/>
  <c r="L386" i="60"/>
  <c r="Q385" i="60"/>
  <c r="L385" i="60"/>
  <c r="Q384" i="60"/>
  <c r="L384" i="60"/>
  <c r="Q383" i="60"/>
  <c r="L383" i="60"/>
  <c r="Q382" i="60"/>
  <c r="L382" i="60"/>
  <c r="Q381" i="60"/>
  <c r="L381" i="60"/>
  <c r="Q380" i="60"/>
  <c r="L380" i="60"/>
  <c r="Q379" i="60"/>
  <c r="L379" i="60"/>
  <c r="Q378" i="60"/>
  <c r="L378" i="60"/>
  <c r="Q377" i="60"/>
  <c r="L377" i="60"/>
  <c r="Q376" i="60"/>
  <c r="L376" i="60"/>
  <c r="Z375" i="60"/>
  <c r="Q375" i="60" s="1"/>
  <c r="V375" i="60"/>
  <c r="X375" i="60" s="1"/>
  <c r="R375" i="60"/>
  <c r="U375" i="60" s="1"/>
  <c r="M375" i="60"/>
  <c r="L375" i="60" s="1"/>
  <c r="Q374" i="60"/>
  <c r="L374" i="60"/>
  <c r="V363" i="60"/>
  <c r="R363" i="60"/>
  <c r="M363" i="60"/>
  <c r="L363" i="60" s="1"/>
  <c r="K363" i="60"/>
  <c r="Z363" i="60" s="1"/>
  <c r="Q363" i="60" s="1"/>
  <c r="Q362" i="60"/>
  <c r="L362" i="60"/>
  <c r="Q361" i="60"/>
  <c r="L361" i="60"/>
  <c r="Q360" i="60"/>
  <c r="L360" i="60"/>
  <c r="Q359" i="60"/>
  <c r="L359" i="60"/>
  <c r="Q358" i="60"/>
  <c r="L358" i="60"/>
  <c r="Q357" i="60"/>
  <c r="L357" i="60"/>
  <c r="AF356" i="60"/>
  <c r="Q356" i="60"/>
  <c r="L356" i="60"/>
  <c r="Q355" i="60"/>
  <c r="L355" i="60"/>
  <c r="Q354" i="60"/>
  <c r="L354" i="60"/>
  <c r="Q353" i="60"/>
  <c r="L353" i="60"/>
  <c r="Q352" i="60"/>
  <c r="L352" i="60"/>
  <c r="Z351" i="60"/>
  <c r="U351" i="60"/>
  <c r="T351" i="60"/>
  <c r="R351" i="60"/>
  <c r="Q351" i="60"/>
  <c r="P351" i="60"/>
  <c r="O351" i="60"/>
  <c r="M351" i="60"/>
  <c r="L351" i="60" s="1"/>
  <c r="Q350" i="60"/>
  <c r="L350" i="60"/>
  <c r="Q349" i="60"/>
  <c r="L349" i="60"/>
  <c r="Q348" i="60"/>
  <c r="L348" i="60"/>
  <c r="Q347" i="60"/>
  <c r="L347" i="60"/>
  <c r="Q346" i="60"/>
  <c r="L346" i="60"/>
  <c r="Q345" i="60"/>
  <c r="L345" i="60"/>
  <c r="Q344" i="60"/>
  <c r="L344" i="60"/>
  <c r="Q343" i="60"/>
  <c r="L343" i="60"/>
  <c r="Q342" i="60"/>
  <c r="L342" i="60"/>
  <c r="Q341" i="60"/>
  <c r="L341" i="60"/>
  <c r="Q340" i="60"/>
  <c r="L340" i="60"/>
  <c r="Z339" i="60"/>
  <c r="Q339" i="60" s="1"/>
  <c r="V339" i="60"/>
  <c r="Y339" i="60" s="1"/>
  <c r="U339" i="60"/>
  <c r="R339" i="60"/>
  <c r="T339" i="60" s="1"/>
  <c r="P339" i="60"/>
  <c r="O339" i="60"/>
  <c r="L339" i="60"/>
  <c r="Q338" i="60"/>
  <c r="L338" i="60"/>
  <c r="Q337" i="60"/>
  <c r="L337" i="60"/>
  <c r="Q336" i="60"/>
  <c r="L336" i="60"/>
  <c r="Q335" i="60"/>
  <c r="L335" i="60"/>
  <c r="Q334" i="60"/>
  <c r="L334" i="60"/>
  <c r="Q333" i="60"/>
  <c r="L333" i="60"/>
  <c r="Q332" i="60"/>
  <c r="L332" i="60"/>
  <c r="Q331" i="60"/>
  <c r="L331" i="60"/>
  <c r="Q330" i="60"/>
  <c r="L330" i="60"/>
  <c r="Q329" i="60"/>
  <c r="L329" i="60"/>
  <c r="Q328" i="60"/>
  <c r="L328" i="60"/>
  <c r="Z327" i="60"/>
  <c r="Q327" i="60" s="1"/>
  <c r="V327" i="60"/>
  <c r="Y327" i="60" s="1"/>
  <c r="R327" i="60"/>
  <c r="U327" i="60" s="1"/>
  <c r="M327" i="60"/>
  <c r="L327" i="60" s="1"/>
  <c r="G327" i="60"/>
  <c r="F327" i="60"/>
  <c r="E327" i="60"/>
  <c r="Q326" i="60"/>
  <c r="L326" i="60"/>
  <c r="Q325" i="60"/>
  <c r="L325" i="60"/>
  <c r="Q324" i="60"/>
  <c r="L324" i="60"/>
  <c r="Q323" i="60"/>
  <c r="L323" i="60"/>
  <c r="Q322" i="60"/>
  <c r="L322" i="60"/>
  <c r="Q321" i="60"/>
  <c r="L321" i="60"/>
  <c r="Q320" i="60"/>
  <c r="L320" i="60"/>
  <c r="Q319" i="60"/>
  <c r="L319" i="60"/>
  <c r="Q318" i="60"/>
  <c r="L318" i="60"/>
  <c r="Q317" i="60"/>
  <c r="L317" i="60"/>
  <c r="Q316" i="60"/>
  <c r="L316" i="60"/>
  <c r="Z315" i="60"/>
  <c r="X315" i="60"/>
  <c r="V315" i="60"/>
  <c r="Y315" i="60" s="1"/>
  <c r="R315" i="60"/>
  <c r="U315" i="60" s="1"/>
  <c r="Q315" i="60"/>
  <c r="M315" i="60"/>
  <c r="L315" i="60" s="1"/>
  <c r="Q314" i="60"/>
  <c r="L314" i="60"/>
  <c r="Q313" i="60"/>
  <c r="L313" i="60"/>
  <c r="Q312" i="60"/>
  <c r="L312" i="60"/>
  <c r="Q311" i="60"/>
  <c r="L311" i="60"/>
  <c r="Q310" i="60"/>
  <c r="L310" i="60"/>
  <c r="Q309" i="60"/>
  <c r="L309" i="60"/>
  <c r="Q308" i="60"/>
  <c r="L308" i="60"/>
  <c r="Q307" i="60"/>
  <c r="L307" i="60"/>
  <c r="Q306" i="60"/>
  <c r="L306" i="60"/>
  <c r="Q305" i="60"/>
  <c r="L305" i="60"/>
  <c r="Q304" i="60"/>
  <c r="L304" i="60"/>
  <c r="Z303" i="60"/>
  <c r="Q303" i="60" s="1"/>
  <c r="Y303" i="60"/>
  <c r="V303" i="60"/>
  <c r="X303" i="60" s="1"/>
  <c r="U303" i="60"/>
  <c r="T303" i="60"/>
  <c r="R303" i="60"/>
  <c r="P303" i="60"/>
  <c r="O303" i="60"/>
  <c r="L303" i="60"/>
  <c r="Q302" i="60"/>
  <c r="L302" i="60"/>
  <c r="Q301" i="60"/>
  <c r="L301" i="60"/>
  <c r="Q300" i="60"/>
  <c r="L300" i="60"/>
  <c r="Q299" i="60"/>
  <c r="L299" i="60"/>
  <c r="Q298" i="60"/>
  <c r="L298" i="60"/>
  <c r="Q297" i="60"/>
  <c r="L297" i="60"/>
  <c r="Q296" i="60"/>
  <c r="L296" i="60"/>
  <c r="Q295" i="60"/>
  <c r="L295" i="60"/>
  <c r="Q294" i="60"/>
  <c r="L294" i="60"/>
  <c r="Q293" i="60"/>
  <c r="L293" i="60"/>
  <c r="Q292" i="60"/>
  <c r="L292" i="60"/>
  <c r="Z291" i="60"/>
  <c r="Q291" i="60" s="1"/>
  <c r="V291" i="60"/>
  <c r="Y291" i="60" s="1"/>
  <c r="R291" i="60"/>
  <c r="U291" i="60" s="1"/>
  <c r="M291" i="60"/>
  <c r="P291" i="60" s="1"/>
  <c r="L291" i="60"/>
  <c r="Q290" i="60"/>
  <c r="L290" i="60"/>
  <c r="Q289" i="60"/>
  <c r="L289" i="60"/>
  <c r="Q288" i="60"/>
  <c r="L288" i="60"/>
  <c r="Q287" i="60"/>
  <c r="L287" i="60"/>
  <c r="Q286" i="60"/>
  <c r="L286" i="60"/>
  <c r="Q285" i="60"/>
  <c r="L285" i="60"/>
  <c r="Q284" i="60"/>
  <c r="L284" i="60"/>
  <c r="Q283" i="60"/>
  <c r="L283" i="60"/>
  <c r="Q282" i="60"/>
  <c r="L282" i="60"/>
  <c r="Q281" i="60"/>
  <c r="L281" i="60"/>
  <c r="Q280" i="60"/>
  <c r="L280" i="60"/>
  <c r="Z279" i="60"/>
  <c r="Q279" i="60" s="1"/>
  <c r="Y279" i="60"/>
  <c r="V279" i="60"/>
  <c r="X279" i="60" s="1"/>
  <c r="R279" i="60"/>
  <c r="U279" i="60" s="1"/>
  <c r="M279" i="60"/>
  <c r="L279" i="60" s="1"/>
  <c r="Q278" i="60"/>
  <c r="L278" i="60"/>
  <c r="Q277" i="60"/>
  <c r="L277" i="60"/>
  <c r="Q276" i="60"/>
  <c r="L276" i="60"/>
  <c r="Q275" i="60"/>
  <c r="L275" i="60"/>
  <c r="Q274" i="60"/>
  <c r="L274" i="60"/>
  <c r="Q273" i="60"/>
  <c r="L273" i="60"/>
  <c r="Q272" i="60"/>
  <c r="L272" i="60"/>
  <c r="Q271" i="60"/>
  <c r="L271" i="60"/>
  <c r="Q270" i="60"/>
  <c r="L270" i="60"/>
  <c r="Q269" i="60"/>
  <c r="L269" i="60"/>
  <c r="Q268" i="60"/>
  <c r="L268" i="60"/>
  <c r="Z267" i="60"/>
  <c r="Q267" i="60" s="1"/>
  <c r="Y267" i="60"/>
  <c r="X267" i="60"/>
  <c r="U267" i="60"/>
  <c r="T267" i="60"/>
  <c r="P267" i="60"/>
  <c r="O267" i="60"/>
  <c r="L267" i="60"/>
  <c r="Q266" i="60"/>
  <c r="L266" i="60"/>
  <c r="Q265" i="60"/>
  <c r="L265" i="60"/>
  <c r="Q264" i="60"/>
  <c r="L264" i="60"/>
  <c r="Q263" i="60"/>
  <c r="L263" i="60"/>
  <c r="Q262" i="60"/>
  <c r="L262" i="60"/>
  <c r="Q261" i="60"/>
  <c r="L261" i="60"/>
  <c r="Q260" i="60"/>
  <c r="L260" i="60"/>
  <c r="Q259" i="60"/>
  <c r="L259" i="60"/>
  <c r="Q258" i="60"/>
  <c r="L258" i="60"/>
  <c r="Q257" i="60"/>
  <c r="L257" i="60"/>
  <c r="Q256" i="60"/>
  <c r="L256" i="60"/>
  <c r="Z255" i="60"/>
  <c r="Q255" i="60" s="1"/>
  <c r="V255" i="60"/>
  <c r="Y255" i="60" s="1"/>
  <c r="R255" i="60"/>
  <c r="T255" i="60" s="1"/>
  <c r="P255" i="60"/>
  <c r="O255" i="60"/>
  <c r="M255" i="60"/>
  <c r="L255" i="60" s="1"/>
  <c r="Q254" i="60"/>
  <c r="L254" i="60"/>
  <c r="Q253" i="60"/>
  <c r="L253" i="60"/>
  <c r="Q252" i="60"/>
  <c r="L252" i="60"/>
  <c r="Q251" i="60"/>
  <c r="L251" i="60"/>
  <c r="Q250" i="60"/>
  <c r="L250" i="60"/>
  <c r="Q249" i="60"/>
  <c r="L249" i="60"/>
  <c r="Q248" i="60"/>
  <c r="L248" i="60"/>
  <c r="Q247" i="60"/>
  <c r="L247" i="60"/>
  <c r="Q246" i="60"/>
  <c r="L246" i="60"/>
  <c r="Q245" i="60"/>
  <c r="L245" i="60"/>
  <c r="Q244" i="60"/>
  <c r="L244" i="60"/>
  <c r="Z243" i="60"/>
  <c r="V243" i="60"/>
  <c r="Y243" i="60" s="1"/>
  <c r="R243" i="60"/>
  <c r="U243" i="60" s="1"/>
  <c r="Q243" i="60"/>
  <c r="M243" i="60"/>
  <c r="L243" i="60" s="1"/>
  <c r="Q242" i="60"/>
  <c r="L242" i="60"/>
  <c r="Q241" i="60"/>
  <c r="L241" i="60"/>
  <c r="Q240" i="60"/>
  <c r="L240" i="60"/>
  <c r="Q239" i="60"/>
  <c r="L239" i="60"/>
  <c r="Q238" i="60"/>
  <c r="L238" i="60"/>
  <c r="Q237" i="60"/>
  <c r="L237" i="60"/>
  <c r="Q236" i="60"/>
  <c r="L236" i="60"/>
  <c r="Q235" i="60"/>
  <c r="L235" i="60"/>
  <c r="Q234" i="60"/>
  <c r="L234" i="60"/>
  <c r="Q233" i="60"/>
  <c r="L233" i="60"/>
  <c r="Q232" i="60"/>
  <c r="L232" i="60"/>
  <c r="Z231" i="60"/>
  <c r="Q231" i="60" s="1"/>
  <c r="V231" i="60"/>
  <c r="Y231" i="60" s="1"/>
  <c r="R231" i="60"/>
  <c r="T231" i="60" s="1"/>
  <c r="P231" i="60"/>
  <c r="O231" i="60"/>
  <c r="M231" i="60"/>
  <c r="L231" i="60" s="1"/>
  <c r="Q230" i="60"/>
  <c r="L230" i="60"/>
  <c r="Q229" i="60"/>
  <c r="L229" i="60"/>
  <c r="Q228" i="60"/>
  <c r="L228" i="60"/>
  <c r="Q227" i="60"/>
  <c r="L227" i="60"/>
  <c r="Q226" i="60"/>
  <c r="L226" i="60"/>
  <c r="Q225" i="60"/>
  <c r="L225" i="60"/>
  <c r="Q224" i="60"/>
  <c r="L224" i="60"/>
  <c r="Q223" i="60"/>
  <c r="L223" i="60"/>
  <c r="Q222" i="60"/>
  <c r="L222" i="60"/>
  <c r="Q221" i="60"/>
  <c r="L221" i="60"/>
  <c r="Q220" i="60"/>
  <c r="L220" i="60"/>
  <c r="Z219" i="60"/>
  <c r="V219" i="60"/>
  <c r="Y219" i="60" s="1"/>
  <c r="R219" i="60"/>
  <c r="U219" i="60" s="1"/>
  <c r="Q219" i="60"/>
  <c r="M219" i="60"/>
  <c r="L219" i="60" s="1"/>
  <c r="Q218" i="60"/>
  <c r="L218" i="60"/>
  <c r="Q217" i="60"/>
  <c r="L217" i="60"/>
  <c r="Q216" i="60"/>
  <c r="L216" i="60"/>
  <c r="Q215" i="60"/>
  <c r="L215" i="60"/>
  <c r="Q214" i="60"/>
  <c r="L214" i="60"/>
  <c r="Q213" i="60"/>
  <c r="L213" i="60"/>
  <c r="Q212" i="60"/>
  <c r="L212" i="60"/>
  <c r="Q211" i="60"/>
  <c r="L211" i="60"/>
  <c r="Q210" i="60"/>
  <c r="L210" i="60"/>
  <c r="Q209" i="60"/>
  <c r="L209" i="60"/>
  <c r="Q208" i="60"/>
  <c r="L208" i="60"/>
  <c r="Z207" i="60"/>
  <c r="Q207" i="60" s="1"/>
  <c r="V207" i="60"/>
  <c r="Y207" i="60" s="1"/>
  <c r="R207" i="60"/>
  <c r="T207" i="60" s="1"/>
  <c r="P207" i="60"/>
  <c r="O207" i="60"/>
  <c r="M207" i="60"/>
  <c r="L207" i="60" s="1"/>
  <c r="Q206" i="60"/>
  <c r="L206" i="60"/>
  <c r="Q205" i="60"/>
  <c r="L205" i="60"/>
  <c r="Q204" i="60"/>
  <c r="L204" i="60"/>
  <c r="Q203" i="60"/>
  <c r="L203" i="60"/>
  <c r="Q202" i="60"/>
  <c r="L202" i="60"/>
  <c r="Q201" i="60"/>
  <c r="L201" i="60"/>
  <c r="Q200" i="60"/>
  <c r="L200" i="60"/>
  <c r="Q199" i="60"/>
  <c r="L199" i="60"/>
  <c r="Q198" i="60"/>
  <c r="L198" i="60"/>
  <c r="Q197" i="60"/>
  <c r="L197" i="60"/>
  <c r="Q196" i="60"/>
  <c r="L196" i="60"/>
  <c r="Z195" i="60"/>
  <c r="Q195" i="60" s="1"/>
  <c r="Y195" i="60"/>
  <c r="X195" i="60"/>
  <c r="U195" i="60"/>
  <c r="T195" i="60"/>
  <c r="P195" i="60"/>
  <c r="O195" i="60"/>
  <c r="L195" i="60"/>
  <c r="Q194" i="60"/>
  <c r="L194" i="60"/>
  <c r="Q193" i="60"/>
  <c r="L193" i="60"/>
  <c r="Q192" i="60"/>
  <c r="L192" i="60"/>
  <c r="Q191" i="60"/>
  <c r="L191" i="60"/>
  <c r="Q190" i="60"/>
  <c r="L190" i="60"/>
  <c r="Q189" i="60"/>
  <c r="L189" i="60"/>
  <c r="Q188" i="60"/>
  <c r="L188" i="60"/>
  <c r="Q187" i="60"/>
  <c r="L187" i="60"/>
  <c r="Q186" i="60"/>
  <c r="L186" i="60"/>
  <c r="Q185" i="60"/>
  <c r="L185" i="60"/>
  <c r="Q184" i="60"/>
  <c r="L184" i="60"/>
  <c r="Z183" i="60"/>
  <c r="Q183" i="60" s="1"/>
  <c r="Y183" i="60"/>
  <c r="X183" i="60"/>
  <c r="U183" i="60"/>
  <c r="T183" i="60"/>
  <c r="P183" i="60"/>
  <c r="O183" i="60"/>
  <c r="L183" i="60"/>
  <c r="Q182" i="60"/>
  <c r="L182" i="60"/>
  <c r="Q181" i="60"/>
  <c r="L181" i="60"/>
  <c r="Q180" i="60"/>
  <c r="L180" i="60"/>
  <c r="Q179" i="60"/>
  <c r="L179" i="60"/>
  <c r="Q178" i="60"/>
  <c r="L178" i="60"/>
  <c r="Q177" i="60"/>
  <c r="L177" i="60"/>
  <c r="Q176" i="60"/>
  <c r="L176" i="60"/>
  <c r="Q175" i="60"/>
  <c r="L175" i="60"/>
  <c r="Q174" i="60"/>
  <c r="L174" i="60"/>
  <c r="Q173" i="60"/>
  <c r="L173" i="60"/>
  <c r="Q172" i="60"/>
  <c r="L172" i="60"/>
  <c r="Z171" i="60"/>
  <c r="P171" i="60"/>
  <c r="O171" i="60"/>
  <c r="G171" i="60"/>
  <c r="F171" i="60"/>
  <c r="E171" i="60"/>
  <c r="Q170" i="60"/>
  <c r="L170" i="60"/>
  <c r="Q169" i="60"/>
  <c r="L169" i="60"/>
  <c r="Q168" i="60"/>
  <c r="L168" i="60"/>
  <c r="Q167" i="60"/>
  <c r="L167" i="60"/>
  <c r="Q166" i="60"/>
  <c r="L166" i="60"/>
  <c r="Q165" i="60"/>
  <c r="L165" i="60"/>
  <c r="Q164" i="60"/>
  <c r="L164" i="60"/>
  <c r="Q163" i="60"/>
  <c r="L163" i="60"/>
  <c r="Q162" i="60"/>
  <c r="L162" i="60"/>
  <c r="Q161" i="60"/>
  <c r="L161" i="60"/>
  <c r="Q160" i="60"/>
  <c r="L160" i="60"/>
  <c r="Z159" i="60"/>
  <c r="V159" i="60"/>
  <c r="V171" i="60" s="1"/>
  <c r="R159" i="60"/>
  <c r="R171" i="60" s="1"/>
  <c r="P159" i="60"/>
  <c r="O159" i="60"/>
  <c r="G159" i="60"/>
  <c r="F159" i="60"/>
  <c r="E159" i="60"/>
  <c r="Q158" i="60"/>
  <c r="L158" i="60"/>
  <c r="Q157" i="60"/>
  <c r="L157" i="60"/>
  <c r="Q156" i="60"/>
  <c r="L156" i="60"/>
  <c r="Q155" i="60"/>
  <c r="L155" i="60"/>
  <c r="Q154" i="60"/>
  <c r="L154" i="60"/>
  <c r="Q153" i="60"/>
  <c r="L153" i="60"/>
  <c r="Q152" i="60"/>
  <c r="L152" i="60"/>
  <c r="Q151" i="60"/>
  <c r="L151" i="60"/>
  <c r="Q150" i="60"/>
  <c r="L150" i="60"/>
  <c r="Q149" i="60"/>
  <c r="L149" i="60"/>
  <c r="Q148" i="60"/>
  <c r="L148" i="60"/>
  <c r="Z147" i="60"/>
  <c r="V147" i="60"/>
  <c r="Y147" i="60" s="1"/>
  <c r="R147" i="60"/>
  <c r="T147" i="60" s="1"/>
  <c r="M147" i="60"/>
  <c r="P147" i="60" s="1"/>
  <c r="Q146" i="60"/>
  <c r="L146" i="60"/>
  <c r="Q145" i="60"/>
  <c r="L145" i="60"/>
  <c r="Q144" i="60"/>
  <c r="L144" i="60"/>
  <c r="Q143" i="60"/>
  <c r="L143" i="60"/>
  <c r="Q142" i="60"/>
  <c r="L142" i="60"/>
  <c r="Q141" i="60"/>
  <c r="L141" i="60"/>
  <c r="Q140" i="60"/>
  <c r="L140" i="60"/>
  <c r="Q139" i="60"/>
  <c r="L139" i="60"/>
  <c r="Q138" i="60"/>
  <c r="L138" i="60"/>
  <c r="Q137" i="60"/>
  <c r="L137" i="60"/>
  <c r="Q136" i="60"/>
  <c r="L136" i="60"/>
  <c r="Z135" i="60"/>
  <c r="Q135" i="60" s="1"/>
  <c r="Y135" i="60"/>
  <c r="X135" i="60"/>
  <c r="R135" i="60"/>
  <c r="U135" i="60" s="1"/>
  <c r="M135" i="60"/>
  <c r="P135" i="60" s="1"/>
  <c r="Q134" i="60"/>
  <c r="L134" i="60"/>
  <c r="Q133" i="60"/>
  <c r="L133" i="60"/>
  <c r="Q132" i="60"/>
  <c r="L132" i="60"/>
  <c r="Q131" i="60"/>
  <c r="L131" i="60"/>
  <c r="Q130" i="60"/>
  <c r="L130" i="60"/>
  <c r="Q129" i="60"/>
  <c r="L129" i="60"/>
  <c r="Q128" i="60"/>
  <c r="L128" i="60"/>
  <c r="Q127" i="60"/>
  <c r="L127" i="60"/>
  <c r="Q126" i="60"/>
  <c r="L126" i="60"/>
  <c r="Q125" i="60"/>
  <c r="L125" i="60"/>
  <c r="Q124" i="60"/>
  <c r="L124" i="60"/>
  <c r="Z123" i="60"/>
  <c r="Q123" i="60" s="1"/>
  <c r="Y123" i="60"/>
  <c r="X123" i="60"/>
  <c r="R123" i="60"/>
  <c r="U123" i="60" s="1"/>
  <c r="M123" i="60"/>
  <c r="L123" i="60" s="1"/>
  <c r="Q122" i="60"/>
  <c r="L122" i="60"/>
  <c r="Q121" i="60"/>
  <c r="L121" i="60"/>
  <c r="Q120" i="60"/>
  <c r="L120" i="60"/>
  <c r="Q119" i="60"/>
  <c r="L119" i="60"/>
  <c r="Q118" i="60"/>
  <c r="L118" i="60"/>
  <c r="Q117" i="60"/>
  <c r="L117" i="60"/>
  <c r="Q116" i="60"/>
  <c r="L116" i="60"/>
  <c r="Q115" i="60"/>
  <c r="L115" i="60"/>
  <c r="Q114" i="60"/>
  <c r="L114" i="60"/>
  <c r="Q113" i="60"/>
  <c r="L113" i="60"/>
  <c r="Q112" i="60"/>
  <c r="L112" i="60"/>
  <c r="Z111" i="60"/>
  <c r="Y111" i="60"/>
  <c r="X111" i="60"/>
  <c r="R111" i="60"/>
  <c r="T111" i="60" s="1"/>
  <c r="Q111" i="60"/>
  <c r="M111" i="60"/>
  <c r="O111" i="60" s="1"/>
  <c r="Q110" i="60"/>
  <c r="L110" i="60"/>
  <c r="Q109" i="60"/>
  <c r="L109" i="60"/>
  <c r="Q108" i="60"/>
  <c r="L108" i="60"/>
  <c r="Q107" i="60"/>
  <c r="L107" i="60"/>
  <c r="Q106" i="60"/>
  <c r="L106" i="60"/>
  <c r="Q105" i="60"/>
  <c r="L105" i="60"/>
  <c r="Q104" i="60"/>
  <c r="L104" i="60"/>
  <c r="Q103" i="60"/>
  <c r="L103" i="60"/>
  <c r="Q102" i="60"/>
  <c r="L102" i="60"/>
  <c r="Q101" i="60"/>
  <c r="L101" i="60"/>
  <c r="Q100" i="60"/>
  <c r="L100" i="60"/>
  <c r="Z99" i="60"/>
  <c r="Y99" i="60"/>
  <c r="X99" i="60"/>
  <c r="R99" i="60"/>
  <c r="U99" i="60" s="1"/>
  <c r="Q99" i="60"/>
  <c r="M99" i="60"/>
  <c r="P99" i="60" s="1"/>
  <c r="Q98" i="60"/>
  <c r="L98" i="60"/>
  <c r="Q97" i="60"/>
  <c r="L97" i="60"/>
  <c r="Q96" i="60"/>
  <c r="L96" i="60"/>
  <c r="Q95" i="60"/>
  <c r="L95" i="60"/>
  <c r="Q94" i="60"/>
  <c r="L94" i="60"/>
  <c r="Q93" i="60"/>
  <c r="L93" i="60"/>
  <c r="Q92" i="60"/>
  <c r="L92" i="60"/>
  <c r="Q91" i="60"/>
  <c r="L91" i="60"/>
  <c r="Q90" i="60"/>
  <c r="L90" i="60"/>
  <c r="Q89" i="60"/>
  <c r="L89" i="60"/>
  <c r="Q88" i="60"/>
  <c r="L88" i="60"/>
  <c r="Z87" i="60"/>
  <c r="Q87" i="60" s="1"/>
  <c r="V87" i="60"/>
  <c r="Y87" i="60" s="1"/>
  <c r="R87" i="60"/>
  <c r="U87" i="60" s="1"/>
  <c r="M87" i="60"/>
  <c r="L87" i="60" s="1"/>
  <c r="Q86" i="60"/>
  <c r="L86" i="60"/>
  <c r="Q85" i="60"/>
  <c r="L85" i="60"/>
  <c r="Q84" i="60"/>
  <c r="L84" i="60"/>
  <c r="Q83" i="60"/>
  <c r="L83" i="60"/>
  <c r="Q82" i="60"/>
  <c r="L82" i="60"/>
  <c r="Q81" i="60"/>
  <c r="L81" i="60"/>
  <c r="Q80" i="60"/>
  <c r="L80" i="60"/>
  <c r="Q79" i="60"/>
  <c r="L79" i="60"/>
  <c r="Q78" i="60"/>
  <c r="L78" i="60"/>
  <c r="Q77" i="60"/>
  <c r="L77" i="60"/>
  <c r="Q76" i="60"/>
  <c r="L76" i="60"/>
  <c r="Z75" i="60"/>
  <c r="Q75" i="60" s="1"/>
  <c r="V75" i="60"/>
  <c r="Y75" i="60" s="1"/>
  <c r="R75" i="60"/>
  <c r="T75" i="60" s="1"/>
  <c r="M75" i="60"/>
  <c r="O75" i="60" s="1"/>
  <c r="L75" i="60"/>
  <c r="Q74" i="60"/>
  <c r="L74" i="60"/>
  <c r="Q73" i="60"/>
  <c r="L73" i="60"/>
  <c r="Q72" i="60"/>
  <c r="L72" i="60"/>
  <c r="Q71" i="60"/>
  <c r="L71" i="60"/>
  <c r="Q70" i="60"/>
  <c r="L70" i="60"/>
  <c r="Q69" i="60"/>
  <c r="L69" i="60"/>
  <c r="Q68" i="60"/>
  <c r="L68" i="60"/>
  <c r="Q67" i="60"/>
  <c r="L67" i="60"/>
  <c r="Q66" i="60"/>
  <c r="L66" i="60"/>
  <c r="Q65" i="60"/>
  <c r="L65" i="60"/>
  <c r="Q64" i="60"/>
  <c r="L64" i="60"/>
  <c r="Z63" i="60"/>
  <c r="Y63" i="60"/>
  <c r="V63" i="60"/>
  <c r="X63" i="60" s="1"/>
  <c r="R63" i="60"/>
  <c r="U63" i="60" s="1"/>
  <c r="Q63" i="60"/>
  <c r="M63" i="60"/>
  <c r="L63" i="60" s="1"/>
  <c r="Q62" i="60"/>
  <c r="L62" i="60"/>
  <c r="Q61" i="60"/>
  <c r="L61" i="60"/>
  <c r="Q60" i="60"/>
  <c r="L60" i="60"/>
  <c r="Q59" i="60"/>
  <c r="L59" i="60"/>
  <c r="Q58" i="60"/>
  <c r="L58" i="60"/>
  <c r="Q57" i="60"/>
  <c r="L57" i="60"/>
  <c r="Q56" i="60"/>
  <c r="L56" i="60"/>
  <c r="Q55" i="60"/>
  <c r="L55" i="60"/>
  <c r="Q54" i="60"/>
  <c r="L54" i="60"/>
  <c r="Q53" i="60"/>
  <c r="L53" i="60"/>
  <c r="Q52" i="60"/>
  <c r="L52" i="60"/>
  <c r="Z51" i="60"/>
  <c r="Q51" i="60" s="1"/>
  <c r="V51" i="60"/>
  <c r="Y51" i="60" s="1"/>
  <c r="R51" i="60"/>
  <c r="T51" i="60" s="1"/>
  <c r="M51" i="60"/>
  <c r="O51" i="60" s="1"/>
  <c r="L51" i="60"/>
  <c r="Q50" i="60"/>
  <c r="L50" i="60"/>
  <c r="Q49" i="60"/>
  <c r="L49" i="60"/>
  <c r="Q48" i="60"/>
  <c r="L48" i="60"/>
  <c r="Q47" i="60"/>
  <c r="L47" i="60"/>
  <c r="Q46" i="60"/>
  <c r="L46" i="60"/>
  <c r="Q45" i="60"/>
  <c r="L45" i="60"/>
  <c r="Q44" i="60"/>
  <c r="L44" i="60"/>
  <c r="Q43" i="60"/>
  <c r="L43" i="60"/>
  <c r="Q42" i="60"/>
  <c r="L42" i="60"/>
  <c r="Q41" i="60"/>
  <c r="L41" i="60"/>
  <c r="Q40" i="60"/>
  <c r="L40" i="60"/>
  <c r="Z39" i="60"/>
  <c r="Q39" i="60" s="1"/>
  <c r="V39" i="60"/>
  <c r="Y39" i="60" s="1"/>
  <c r="R39" i="60"/>
  <c r="U39" i="60" s="1"/>
  <c r="M39" i="60"/>
  <c r="L39" i="60" s="1"/>
  <c r="Q38" i="60"/>
  <c r="L38" i="60"/>
  <c r="Q37" i="60"/>
  <c r="L37" i="60"/>
  <c r="Q36" i="60"/>
  <c r="L36" i="60"/>
  <c r="Q35" i="60"/>
  <c r="L35" i="60"/>
  <c r="Q34" i="60"/>
  <c r="L34" i="60"/>
  <c r="Q33" i="60"/>
  <c r="L33" i="60"/>
  <c r="Q32" i="60"/>
  <c r="L32" i="60"/>
  <c r="Q31" i="60"/>
  <c r="L31" i="60"/>
  <c r="Q30" i="60"/>
  <c r="L30" i="60"/>
  <c r="Q29" i="60"/>
  <c r="L29" i="60"/>
  <c r="Q28" i="60"/>
  <c r="L28" i="60"/>
  <c r="Z27" i="60"/>
  <c r="Q27" i="60" s="1"/>
  <c r="V27" i="60"/>
  <c r="Y27" i="60" s="1"/>
  <c r="U27" i="60"/>
  <c r="R27" i="60"/>
  <c r="T27" i="60" s="1"/>
  <c r="M27" i="60"/>
  <c r="O27" i="60" s="1"/>
  <c r="L27" i="60"/>
  <c r="Q26" i="60"/>
  <c r="L26" i="60"/>
  <c r="Q25" i="60"/>
  <c r="L25" i="60"/>
  <c r="Q24" i="60"/>
  <c r="L24" i="60"/>
  <c r="Q23" i="60"/>
  <c r="L23" i="60"/>
  <c r="Q22" i="60"/>
  <c r="L22" i="60"/>
  <c r="Q21" i="60"/>
  <c r="L21" i="60"/>
  <c r="Q20" i="60"/>
  <c r="L20" i="60"/>
  <c r="Q19" i="60"/>
  <c r="L19" i="60"/>
  <c r="Q18" i="60"/>
  <c r="L18" i="60"/>
  <c r="Q17" i="60"/>
  <c r="L17" i="60"/>
  <c r="Q16" i="60"/>
  <c r="L16" i="60"/>
  <c r="Z15" i="60"/>
  <c r="V15" i="60"/>
  <c r="Y15" i="60" s="1"/>
  <c r="R15" i="60"/>
  <c r="U15" i="60" s="1"/>
  <c r="Q15" i="60"/>
  <c r="M15" i="60"/>
  <c r="L15" i="60" s="1"/>
  <c r="Q14" i="60"/>
  <c r="L14" i="60"/>
  <c r="Q13" i="60"/>
  <c r="L13" i="60"/>
  <c r="Q12" i="60"/>
  <c r="L12" i="60"/>
  <c r="Q11" i="60"/>
  <c r="L11" i="60"/>
  <c r="Q10" i="60"/>
  <c r="L10" i="60"/>
  <c r="Q9" i="60"/>
  <c r="L9" i="60"/>
  <c r="Q8" i="60"/>
  <c r="L8" i="60"/>
  <c r="Q7" i="60"/>
  <c r="L7" i="60"/>
  <c r="Q6" i="60"/>
  <c r="L6" i="60"/>
  <c r="Q5" i="60"/>
  <c r="L5" i="60"/>
  <c r="Q4" i="60"/>
  <c r="L4" i="60"/>
  <c r="Z3" i="60"/>
  <c r="Q3" i="60" s="1"/>
  <c r="V3" i="60"/>
  <c r="Y3" i="60" s="1"/>
  <c r="R3" i="60"/>
  <c r="U3" i="60" s="1"/>
  <c r="M3" i="60"/>
  <c r="O3" i="60" s="1"/>
  <c r="L3" i="60"/>
  <c r="J3" i="60"/>
  <c r="Q2" i="60"/>
  <c r="L2" i="60"/>
  <c r="Y375" i="60" l="1"/>
  <c r="O411" i="60"/>
  <c r="T471" i="60"/>
  <c r="X15" i="60"/>
  <c r="P111" i="60"/>
  <c r="P51" i="60"/>
  <c r="T135" i="60"/>
  <c r="O147" i="60"/>
  <c r="P3" i="60"/>
  <c r="U75" i="60"/>
  <c r="L111" i="60"/>
  <c r="U207" i="60"/>
  <c r="U231" i="60"/>
  <c r="U255" i="60"/>
  <c r="P411" i="60"/>
  <c r="X423" i="60"/>
  <c r="O471" i="60"/>
  <c r="P471" i="60"/>
  <c r="X87" i="60"/>
  <c r="T123" i="60"/>
  <c r="O135" i="60"/>
  <c r="T279" i="60"/>
  <c r="O327" i="60"/>
  <c r="T327" i="60"/>
  <c r="T375" i="60"/>
  <c r="X39" i="60"/>
  <c r="T3" i="60"/>
  <c r="P27" i="60"/>
  <c r="U51" i="60"/>
  <c r="P75" i="60"/>
  <c r="O123" i="60"/>
  <c r="X207" i="60"/>
  <c r="X231" i="60"/>
  <c r="X255" i="60"/>
  <c r="O279" i="60"/>
  <c r="O291" i="60"/>
  <c r="T291" i="60"/>
  <c r="P327" i="60"/>
  <c r="X339" i="60"/>
  <c r="Y363" i="60"/>
  <c r="O375" i="60"/>
  <c r="O387" i="60"/>
  <c r="T387" i="60"/>
  <c r="U399" i="60"/>
  <c r="X411" i="60"/>
  <c r="T483" i="60"/>
  <c r="U111" i="60"/>
  <c r="P123" i="60"/>
  <c r="U147" i="60"/>
  <c r="X159" i="60"/>
  <c r="X219" i="60"/>
  <c r="X243" i="60"/>
  <c r="Y399" i="60"/>
  <c r="T171" i="60"/>
  <c r="U171" i="60"/>
  <c r="Y171" i="60"/>
  <c r="X171" i="60"/>
  <c r="O15" i="60"/>
  <c r="T15" i="60"/>
  <c r="O39" i="60"/>
  <c r="T39" i="60"/>
  <c r="O63" i="60"/>
  <c r="T63" i="60"/>
  <c r="O87" i="60"/>
  <c r="T87" i="60"/>
  <c r="T159" i="60"/>
  <c r="Y159" i="60"/>
  <c r="O219" i="60"/>
  <c r="T219" i="60"/>
  <c r="O243" i="60"/>
  <c r="T243" i="60"/>
  <c r="P279" i="60"/>
  <c r="X291" i="60"/>
  <c r="O315" i="60"/>
  <c r="T315" i="60"/>
  <c r="X327" i="60"/>
  <c r="X363" i="60"/>
  <c r="P375" i="60"/>
  <c r="X387" i="60"/>
  <c r="O399" i="60"/>
  <c r="T399" i="60"/>
  <c r="O423" i="60"/>
  <c r="T423" i="60"/>
  <c r="X471" i="60"/>
  <c r="P483" i="60"/>
  <c r="X3" i="60"/>
  <c r="P15" i="60"/>
  <c r="X27" i="60"/>
  <c r="P39" i="60"/>
  <c r="X51" i="60"/>
  <c r="P63" i="60"/>
  <c r="X75" i="60"/>
  <c r="P87" i="60"/>
  <c r="O99" i="60"/>
  <c r="T99" i="60"/>
  <c r="X147" i="60"/>
  <c r="U159" i="60"/>
  <c r="P219" i="60"/>
  <c r="P243" i="60"/>
  <c r="P315" i="60"/>
  <c r="O363" i="60"/>
  <c r="T363" i="60"/>
  <c r="P399" i="60"/>
  <c r="P423" i="60"/>
  <c r="P363" i="60"/>
  <c r="U363" i="60"/>
  <c r="P339" i="53"/>
  <c r="T483" i="53"/>
  <c r="Y483" i="53"/>
  <c r="X483" i="53"/>
  <c r="S483" i="53"/>
  <c r="O483" i="53"/>
  <c r="V75" i="53"/>
  <c r="X75" i="53" s="1"/>
  <c r="V471" i="53"/>
  <c r="X471" i="53" s="1"/>
  <c r="V459" i="53"/>
  <c r="Y459" i="53" s="1"/>
  <c r="V411" i="53"/>
  <c r="Y411" i="53" s="1"/>
  <c r="V399" i="53"/>
  <c r="Y399" i="53" s="1"/>
  <c r="V387" i="53"/>
  <c r="V375" i="53"/>
  <c r="X375" i="53" s="1"/>
  <c r="V363" i="53"/>
  <c r="Y363" i="53" s="1"/>
  <c r="V351" i="53"/>
  <c r="V327" i="53"/>
  <c r="X327" i="53" s="1"/>
  <c r="V315" i="53"/>
  <c r="Y315" i="53" s="1"/>
  <c r="V291" i="53"/>
  <c r="Y291" i="53" s="1"/>
  <c r="V255" i="53"/>
  <c r="X255" i="53" s="1"/>
  <c r="V243" i="53"/>
  <c r="X243" i="53" s="1"/>
  <c r="V231" i="53"/>
  <c r="Y231" i="53" s="1"/>
  <c r="V219" i="53"/>
  <c r="Y219" i="53" s="1"/>
  <c r="V87" i="53"/>
  <c r="X87" i="53" s="1"/>
  <c r="V63" i="53"/>
  <c r="Y63" i="53" s="1"/>
  <c r="V39" i="53"/>
  <c r="Y39" i="53" s="1"/>
  <c r="V27" i="53"/>
  <c r="X27" i="53" s="1"/>
  <c r="Q471" i="53"/>
  <c r="S471" i="53" s="1"/>
  <c r="Q459" i="53"/>
  <c r="T459" i="53" s="1"/>
  <c r="Q411" i="53"/>
  <c r="T411" i="53" s="1"/>
  <c r="Q399" i="53"/>
  <c r="S399" i="53" s="1"/>
  <c r="Q387" i="53"/>
  <c r="Q375" i="53"/>
  <c r="T375" i="53" s="1"/>
  <c r="Q363" i="53"/>
  <c r="T363" i="53" s="1"/>
  <c r="Q351" i="53"/>
  <c r="Q327" i="53"/>
  <c r="S327" i="53" s="1"/>
  <c r="Q315" i="53"/>
  <c r="T315" i="53" s="1"/>
  <c r="Q291" i="53"/>
  <c r="S291" i="53" s="1"/>
  <c r="Q255" i="53"/>
  <c r="S255" i="53" s="1"/>
  <c r="Q243" i="53"/>
  <c r="T243" i="53" s="1"/>
  <c r="Q231" i="53"/>
  <c r="T231" i="53" s="1"/>
  <c r="Q219" i="53"/>
  <c r="S219" i="53" s="1"/>
  <c r="Q87" i="53"/>
  <c r="S87" i="53" s="1"/>
  <c r="Q75" i="53"/>
  <c r="T75" i="53" s="1"/>
  <c r="Q63" i="53"/>
  <c r="T63" i="53" s="1"/>
  <c r="Q39" i="53"/>
  <c r="S39" i="53" s="1"/>
  <c r="Q27" i="53"/>
  <c r="S27" i="53" s="1"/>
  <c r="L27" i="53"/>
  <c r="O27" i="53" s="1"/>
  <c r="Y75" i="53" l="1"/>
  <c r="S411" i="53"/>
  <c r="T39" i="53"/>
  <c r="X363" i="53"/>
  <c r="T87" i="53"/>
  <c r="S63" i="53"/>
  <c r="X39" i="53"/>
  <c r="X399" i="53"/>
  <c r="T219" i="53"/>
  <c r="T399" i="53"/>
  <c r="S231" i="53"/>
  <c r="X219" i="53"/>
  <c r="X411" i="53"/>
  <c r="T27" i="53"/>
  <c r="T327" i="53"/>
  <c r="Y27" i="53"/>
  <c r="S363" i="53"/>
  <c r="X231" i="53"/>
  <c r="T255" i="53"/>
  <c r="X291" i="53"/>
  <c r="T291" i="53"/>
  <c r="T471" i="53"/>
  <c r="Y243" i="53"/>
  <c r="Y375" i="53"/>
  <c r="Y87" i="53"/>
  <c r="Y327" i="53"/>
  <c r="Y471" i="53"/>
  <c r="S243" i="53"/>
  <c r="S315" i="53"/>
  <c r="S375" i="53"/>
  <c r="S459" i="53"/>
  <c r="X63" i="53"/>
  <c r="X315" i="53"/>
  <c r="X459" i="53"/>
  <c r="Y255" i="53"/>
  <c r="S75" i="53"/>
  <c r="O303" i="53"/>
  <c r="O279" i="53"/>
  <c r="O207" i="53"/>
  <c r="O195" i="53"/>
  <c r="O183" i="53"/>
  <c r="O171" i="53"/>
  <c r="Y279" i="53"/>
  <c r="Y207" i="53"/>
  <c r="Y195" i="53"/>
  <c r="Y135" i="53"/>
  <c r="Y123" i="53"/>
  <c r="Y111" i="53"/>
  <c r="T279" i="53"/>
  <c r="T207" i="53"/>
  <c r="T195" i="53"/>
  <c r="X279" i="53"/>
  <c r="X207" i="53"/>
  <c r="X195" i="53"/>
  <c r="X135" i="53"/>
  <c r="X123" i="53"/>
  <c r="X111" i="53"/>
  <c r="S279" i="53"/>
  <c r="S207" i="53"/>
  <c r="S195" i="53"/>
  <c r="N15" i="53"/>
  <c r="O339" i="53"/>
  <c r="T339" i="53"/>
  <c r="S339" i="53"/>
  <c r="Q339" i="53"/>
  <c r="L339" i="53"/>
  <c r="V303" i="53"/>
  <c r="Y303" i="53" s="1"/>
  <c r="Q303" i="53"/>
  <c r="T303" i="53" s="1"/>
  <c r="Q267" i="53"/>
  <c r="T267" i="53" s="1"/>
  <c r="V267" i="53"/>
  <c r="X267" i="53" s="1"/>
  <c r="L267" i="53"/>
  <c r="O267" i="53" s="1"/>
  <c r="V171" i="53"/>
  <c r="X171" i="53" s="1"/>
  <c r="Q171" i="53"/>
  <c r="T171" i="53" s="1"/>
  <c r="Y147" i="53"/>
  <c r="T147" i="53"/>
  <c r="N147" i="53"/>
  <c r="T135" i="53"/>
  <c r="O135" i="53"/>
  <c r="Q123" i="53"/>
  <c r="T123" i="53" s="1"/>
  <c r="L123" i="53"/>
  <c r="O123" i="53" s="1"/>
  <c r="Q111" i="53"/>
  <c r="T111" i="53" s="1"/>
  <c r="L111" i="53"/>
  <c r="N111" i="53" s="1"/>
  <c r="V99" i="53"/>
  <c r="Y99" i="53" s="1"/>
  <c r="Q99" i="53"/>
  <c r="T99" i="53" s="1"/>
  <c r="L99" i="53"/>
  <c r="O99" i="53" s="1"/>
  <c r="X15" i="53"/>
  <c r="T15" i="53"/>
  <c r="Q503" i="56"/>
  <c r="L503" i="56"/>
  <c r="Q502" i="56"/>
  <c r="L502" i="56"/>
  <c r="Q501" i="56"/>
  <c r="L501" i="56"/>
  <c r="Q500" i="56"/>
  <c r="L500" i="56"/>
  <c r="Q499" i="56"/>
  <c r="L499" i="56"/>
  <c r="Q498" i="56"/>
  <c r="L498" i="56"/>
  <c r="Q497" i="56"/>
  <c r="L497" i="56"/>
  <c r="Q496" i="56"/>
  <c r="L496" i="56"/>
  <c r="Z495" i="56"/>
  <c r="Q495" i="56" s="1"/>
  <c r="O495" i="56"/>
  <c r="Q494" i="56"/>
  <c r="L494" i="56"/>
  <c r="Q493" i="56"/>
  <c r="L493" i="56"/>
  <c r="Q492" i="56"/>
  <c r="L492" i="56"/>
  <c r="Q491" i="56"/>
  <c r="L491" i="56"/>
  <c r="Q490" i="56"/>
  <c r="L490" i="56"/>
  <c r="Q489" i="56"/>
  <c r="L489" i="56"/>
  <c r="Q488" i="56"/>
  <c r="L488" i="56"/>
  <c r="Q487" i="56"/>
  <c r="L487" i="56"/>
  <c r="Q486" i="56"/>
  <c r="L486" i="56"/>
  <c r="Q485" i="56"/>
  <c r="L485" i="56"/>
  <c r="Q484" i="56"/>
  <c r="L484" i="56"/>
  <c r="Z483" i="56"/>
  <c r="Q483" i="56" s="1"/>
  <c r="M483" i="56"/>
  <c r="L483" i="56" s="1"/>
  <c r="Q482" i="56"/>
  <c r="L482" i="56"/>
  <c r="Q481" i="56"/>
  <c r="L481" i="56"/>
  <c r="Q480" i="56"/>
  <c r="L480" i="56"/>
  <c r="Q479" i="56"/>
  <c r="L479" i="56"/>
  <c r="Q478" i="56"/>
  <c r="L478" i="56"/>
  <c r="Q477" i="56"/>
  <c r="L477" i="56"/>
  <c r="Q476" i="56"/>
  <c r="L476" i="56"/>
  <c r="Q475" i="56"/>
  <c r="L475" i="56"/>
  <c r="Q474" i="56"/>
  <c r="L474" i="56"/>
  <c r="Q473" i="56"/>
  <c r="L473" i="56"/>
  <c r="Q472" i="56"/>
  <c r="L472" i="56"/>
  <c r="Z471" i="56"/>
  <c r="Q471" i="56" s="1"/>
  <c r="M471" i="56"/>
  <c r="O471" i="56" s="1"/>
  <c r="L471" i="56"/>
  <c r="Q470" i="56"/>
  <c r="L470" i="56"/>
  <c r="Q469" i="56"/>
  <c r="L469" i="56"/>
  <c r="Q468" i="56"/>
  <c r="L468" i="56"/>
  <c r="Q467" i="56"/>
  <c r="L467" i="56"/>
  <c r="Q466" i="56"/>
  <c r="L466" i="56"/>
  <c r="Q465" i="56"/>
  <c r="L465" i="56"/>
  <c r="Q464" i="56"/>
  <c r="L464" i="56"/>
  <c r="Q463" i="56"/>
  <c r="L463" i="56"/>
  <c r="Q462" i="56"/>
  <c r="L462" i="56"/>
  <c r="Q461" i="56"/>
  <c r="L461" i="56"/>
  <c r="Q460" i="56"/>
  <c r="L460" i="56"/>
  <c r="Q458" i="56"/>
  <c r="L458" i="56"/>
  <c r="Q457" i="56"/>
  <c r="L457" i="56"/>
  <c r="Q456" i="56"/>
  <c r="L456" i="56"/>
  <c r="Q455" i="56"/>
  <c r="L455" i="56"/>
  <c r="Q454" i="56"/>
  <c r="L454" i="56"/>
  <c r="Q453" i="56"/>
  <c r="L453" i="56"/>
  <c r="Q452" i="56"/>
  <c r="L452" i="56"/>
  <c r="Q451" i="56"/>
  <c r="L451" i="56"/>
  <c r="Q450" i="56"/>
  <c r="L450" i="56"/>
  <c r="Q449" i="56"/>
  <c r="L449" i="56"/>
  <c r="Q448" i="56"/>
  <c r="L448" i="56"/>
  <c r="Q446" i="56"/>
  <c r="L446" i="56"/>
  <c r="Q445" i="56"/>
  <c r="L445" i="56"/>
  <c r="Q444" i="56"/>
  <c r="L444" i="56"/>
  <c r="Q443" i="56"/>
  <c r="L443" i="56"/>
  <c r="Q442" i="56"/>
  <c r="L442" i="56"/>
  <c r="Q441" i="56"/>
  <c r="L441" i="56"/>
  <c r="Q440" i="56"/>
  <c r="L440" i="56"/>
  <c r="Q439" i="56"/>
  <c r="L439" i="56"/>
  <c r="Q438" i="56"/>
  <c r="L438" i="56"/>
  <c r="Q437" i="56"/>
  <c r="L437" i="56"/>
  <c r="Q436" i="56"/>
  <c r="L436" i="56"/>
  <c r="O435" i="56"/>
  <c r="Q434" i="56"/>
  <c r="L434" i="56"/>
  <c r="Q433" i="56"/>
  <c r="L433" i="56"/>
  <c r="Q432" i="56"/>
  <c r="L432" i="56"/>
  <c r="Q431" i="56"/>
  <c r="L431" i="56"/>
  <c r="Q430" i="56"/>
  <c r="L430" i="56"/>
  <c r="Q429" i="56"/>
  <c r="L429" i="56"/>
  <c r="Q428" i="56"/>
  <c r="L428" i="56"/>
  <c r="Q427" i="56"/>
  <c r="L427" i="56"/>
  <c r="Q426" i="56"/>
  <c r="L426" i="56"/>
  <c r="Q425" i="56"/>
  <c r="L425" i="56"/>
  <c r="Q424" i="56"/>
  <c r="L424" i="56"/>
  <c r="Z423" i="56"/>
  <c r="Q423" i="56"/>
  <c r="M423" i="56"/>
  <c r="L423" i="56" s="1"/>
  <c r="Q422" i="56"/>
  <c r="L422" i="56"/>
  <c r="Q421" i="56"/>
  <c r="L421" i="56"/>
  <c r="Q420" i="56"/>
  <c r="L420" i="56"/>
  <c r="Q419" i="56"/>
  <c r="L419" i="56"/>
  <c r="Q418" i="56"/>
  <c r="L418" i="56"/>
  <c r="Q417" i="56"/>
  <c r="L417" i="56"/>
  <c r="Q416" i="56"/>
  <c r="L416" i="56"/>
  <c r="Q415" i="56"/>
  <c r="L415" i="56"/>
  <c r="Q414" i="56"/>
  <c r="L414" i="56"/>
  <c r="Q413" i="56"/>
  <c r="L413" i="56"/>
  <c r="Q412" i="56"/>
  <c r="L412" i="56"/>
  <c r="Z411" i="56"/>
  <c r="Q411" i="56" s="1"/>
  <c r="M411" i="56"/>
  <c r="L411" i="56" s="1"/>
  <c r="Q410" i="56"/>
  <c r="L410" i="56"/>
  <c r="M399" i="56"/>
  <c r="K399" i="56"/>
  <c r="Z399" i="56" s="1"/>
  <c r="Q399" i="56" s="1"/>
  <c r="Q398" i="56"/>
  <c r="L398" i="56"/>
  <c r="Q397" i="56"/>
  <c r="L397" i="56"/>
  <c r="Q396" i="56"/>
  <c r="L396" i="56"/>
  <c r="Q395" i="56"/>
  <c r="L395" i="56"/>
  <c r="Q394" i="56"/>
  <c r="L394" i="56"/>
  <c r="Q393" i="56"/>
  <c r="L393" i="56"/>
  <c r="Q392" i="56"/>
  <c r="L392" i="56"/>
  <c r="Q391" i="56"/>
  <c r="L391" i="56"/>
  <c r="Q390" i="56"/>
  <c r="L390" i="56"/>
  <c r="Q389" i="56"/>
  <c r="L389" i="56"/>
  <c r="Q388" i="56"/>
  <c r="L388" i="56"/>
  <c r="Z387" i="56"/>
  <c r="Q387" i="56" s="1"/>
  <c r="M387" i="56"/>
  <c r="O387" i="56" s="1"/>
  <c r="Q386" i="56"/>
  <c r="L386" i="56"/>
  <c r="Q385" i="56"/>
  <c r="L385" i="56"/>
  <c r="Q384" i="56"/>
  <c r="L384" i="56"/>
  <c r="Q383" i="56"/>
  <c r="L383" i="56"/>
  <c r="Q382" i="56"/>
  <c r="L382" i="56"/>
  <c r="Q381" i="56"/>
  <c r="L381" i="56"/>
  <c r="Q380" i="56"/>
  <c r="L380" i="56"/>
  <c r="Q379" i="56"/>
  <c r="L379" i="56"/>
  <c r="Q378" i="56"/>
  <c r="L378" i="56"/>
  <c r="Q377" i="56"/>
  <c r="L377" i="56"/>
  <c r="Q376" i="56"/>
  <c r="L376" i="56"/>
  <c r="Z375" i="56"/>
  <c r="Q375" i="56" s="1"/>
  <c r="M375" i="56"/>
  <c r="O375" i="56" s="1"/>
  <c r="L375" i="56"/>
  <c r="Q374" i="56"/>
  <c r="L374" i="56"/>
  <c r="M363" i="56"/>
  <c r="L363" i="56" s="1"/>
  <c r="K363" i="56"/>
  <c r="Z363" i="56" s="1"/>
  <c r="Q363" i="56" s="1"/>
  <c r="Q362" i="56"/>
  <c r="L362" i="56"/>
  <c r="Q361" i="56"/>
  <c r="L361" i="56"/>
  <c r="Q360" i="56"/>
  <c r="L360" i="56"/>
  <c r="Q359" i="56"/>
  <c r="L359" i="56"/>
  <c r="Q358" i="56"/>
  <c r="L358" i="56"/>
  <c r="Q357" i="56"/>
  <c r="L357" i="56"/>
  <c r="AF356" i="56"/>
  <c r="Q356" i="56"/>
  <c r="L356" i="56"/>
  <c r="Q355" i="56"/>
  <c r="L355" i="56"/>
  <c r="Q354" i="56"/>
  <c r="L354" i="56"/>
  <c r="Q353" i="56"/>
  <c r="L353" i="56"/>
  <c r="Q352" i="56"/>
  <c r="L352" i="56"/>
  <c r="Z351" i="56"/>
  <c r="Q351" i="56" s="1"/>
  <c r="O351" i="56"/>
  <c r="M351" i="56"/>
  <c r="L351" i="56"/>
  <c r="Q350" i="56"/>
  <c r="L350" i="56"/>
  <c r="Q349" i="56"/>
  <c r="L349" i="56"/>
  <c r="Q348" i="56"/>
  <c r="L348" i="56"/>
  <c r="Q347" i="56"/>
  <c r="L347" i="56"/>
  <c r="Q346" i="56"/>
  <c r="L346" i="56"/>
  <c r="Q345" i="56"/>
  <c r="L345" i="56"/>
  <c r="Q344" i="56"/>
  <c r="L344" i="56"/>
  <c r="Q343" i="56"/>
  <c r="L343" i="56"/>
  <c r="Q342" i="56"/>
  <c r="L342" i="56"/>
  <c r="Q341" i="56"/>
  <c r="L341" i="56"/>
  <c r="Q340" i="56"/>
  <c r="L340" i="56"/>
  <c r="Z339" i="56"/>
  <c r="Q339" i="56"/>
  <c r="O339" i="56"/>
  <c r="L339" i="56"/>
  <c r="Q338" i="56"/>
  <c r="L338" i="56"/>
  <c r="Q337" i="56"/>
  <c r="L337" i="56"/>
  <c r="Q336" i="56"/>
  <c r="L336" i="56"/>
  <c r="Q335" i="56"/>
  <c r="L335" i="56"/>
  <c r="Q334" i="56"/>
  <c r="L334" i="56"/>
  <c r="Q333" i="56"/>
  <c r="L333" i="56"/>
  <c r="Q332" i="56"/>
  <c r="L332" i="56"/>
  <c r="Q331" i="56"/>
  <c r="L331" i="56"/>
  <c r="Q330" i="56"/>
  <c r="L330" i="56"/>
  <c r="Q329" i="56"/>
  <c r="L329" i="56"/>
  <c r="Q328" i="56"/>
  <c r="L328" i="56"/>
  <c r="Z327" i="56"/>
  <c r="Q327" i="56" s="1"/>
  <c r="M327" i="56"/>
  <c r="O327" i="56" s="1"/>
  <c r="L327" i="56"/>
  <c r="G327" i="56"/>
  <c r="F327" i="56"/>
  <c r="E327" i="56"/>
  <c r="Q326" i="56"/>
  <c r="L326" i="56"/>
  <c r="Q325" i="56"/>
  <c r="L325" i="56"/>
  <c r="Q324" i="56"/>
  <c r="L324" i="56"/>
  <c r="Q323" i="56"/>
  <c r="L323" i="56"/>
  <c r="Q322" i="56"/>
  <c r="L322" i="56"/>
  <c r="Q321" i="56"/>
  <c r="L321" i="56"/>
  <c r="Q320" i="56"/>
  <c r="L320" i="56"/>
  <c r="Q319" i="56"/>
  <c r="L319" i="56"/>
  <c r="Q318" i="56"/>
  <c r="L318" i="56"/>
  <c r="Q317" i="56"/>
  <c r="L317" i="56"/>
  <c r="Q316" i="56"/>
  <c r="L316" i="56"/>
  <c r="Z315" i="56"/>
  <c r="Q315" i="56" s="1"/>
  <c r="M315" i="56"/>
  <c r="L315" i="56" s="1"/>
  <c r="Q314" i="56"/>
  <c r="L314" i="56"/>
  <c r="Q313" i="56"/>
  <c r="L313" i="56"/>
  <c r="Q312" i="56"/>
  <c r="L312" i="56"/>
  <c r="Q311" i="56"/>
  <c r="L311" i="56"/>
  <c r="Q310" i="56"/>
  <c r="L310" i="56"/>
  <c r="Q309" i="56"/>
  <c r="L309" i="56"/>
  <c r="Q308" i="56"/>
  <c r="L308" i="56"/>
  <c r="Q307" i="56"/>
  <c r="L307" i="56"/>
  <c r="Q306" i="56"/>
  <c r="L306" i="56"/>
  <c r="Q305" i="56"/>
  <c r="L305" i="56"/>
  <c r="Q304" i="56"/>
  <c r="L304" i="56"/>
  <c r="Z303" i="56"/>
  <c r="Q303" i="56" s="1"/>
  <c r="O303" i="56"/>
  <c r="L303" i="56"/>
  <c r="Q302" i="56"/>
  <c r="L302" i="56"/>
  <c r="Q301" i="56"/>
  <c r="L301" i="56"/>
  <c r="Q300" i="56"/>
  <c r="L300" i="56"/>
  <c r="Q299" i="56"/>
  <c r="L299" i="56"/>
  <c r="Q298" i="56"/>
  <c r="L298" i="56"/>
  <c r="Q297" i="56"/>
  <c r="L297" i="56"/>
  <c r="Q296" i="56"/>
  <c r="L296" i="56"/>
  <c r="Q295" i="56"/>
  <c r="L295" i="56"/>
  <c r="Q294" i="56"/>
  <c r="L294" i="56"/>
  <c r="Q293" i="56"/>
  <c r="L293" i="56"/>
  <c r="Q292" i="56"/>
  <c r="L292" i="56"/>
  <c r="Z291" i="56"/>
  <c r="Q291" i="56"/>
  <c r="M291" i="56"/>
  <c r="O291" i="56" s="1"/>
  <c r="Q290" i="56"/>
  <c r="L290" i="56"/>
  <c r="Q289" i="56"/>
  <c r="L289" i="56"/>
  <c r="Q288" i="56"/>
  <c r="L288" i="56"/>
  <c r="Q287" i="56"/>
  <c r="L287" i="56"/>
  <c r="Q286" i="56"/>
  <c r="L286" i="56"/>
  <c r="Q285" i="56"/>
  <c r="L285" i="56"/>
  <c r="Q284" i="56"/>
  <c r="L284" i="56"/>
  <c r="Q283" i="56"/>
  <c r="L283" i="56"/>
  <c r="Q282" i="56"/>
  <c r="L282" i="56"/>
  <c r="Q281" i="56"/>
  <c r="L281" i="56"/>
  <c r="Q280" i="56"/>
  <c r="L280" i="56"/>
  <c r="Z279" i="56"/>
  <c r="Q279" i="56" s="1"/>
  <c r="M279" i="56"/>
  <c r="L279" i="56" s="1"/>
  <c r="Q278" i="56"/>
  <c r="L278" i="56"/>
  <c r="Q277" i="56"/>
  <c r="L277" i="56"/>
  <c r="Q276" i="56"/>
  <c r="L276" i="56"/>
  <c r="Q275" i="56"/>
  <c r="L275" i="56"/>
  <c r="Q274" i="56"/>
  <c r="L274" i="56"/>
  <c r="Q273" i="56"/>
  <c r="L273" i="56"/>
  <c r="Q272" i="56"/>
  <c r="L272" i="56"/>
  <c r="Q271" i="56"/>
  <c r="L271" i="56"/>
  <c r="Q270" i="56"/>
  <c r="L270" i="56"/>
  <c r="Q269" i="56"/>
  <c r="L269" i="56"/>
  <c r="Q268" i="56"/>
  <c r="L268" i="56"/>
  <c r="Z267" i="56"/>
  <c r="Q267" i="56" s="1"/>
  <c r="O267" i="56"/>
  <c r="L267" i="56"/>
  <c r="Q266" i="56"/>
  <c r="L266" i="56"/>
  <c r="Q265" i="56"/>
  <c r="L265" i="56"/>
  <c r="Q264" i="56"/>
  <c r="L264" i="56"/>
  <c r="Q263" i="56"/>
  <c r="L263" i="56"/>
  <c r="Q262" i="56"/>
  <c r="L262" i="56"/>
  <c r="Q261" i="56"/>
  <c r="L261" i="56"/>
  <c r="Q260" i="56"/>
  <c r="L260" i="56"/>
  <c r="Q259" i="56"/>
  <c r="L259" i="56"/>
  <c r="Q258" i="56"/>
  <c r="L258" i="56"/>
  <c r="Q257" i="56"/>
  <c r="L257" i="56"/>
  <c r="Q256" i="56"/>
  <c r="L256" i="56"/>
  <c r="Z255" i="56"/>
  <c r="Q255" i="56"/>
  <c r="M255" i="56"/>
  <c r="L255" i="56" s="1"/>
  <c r="Q254" i="56"/>
  <c r="L254" i="56"/>
  <c r="Q253" i="56"/>
  <c r="L253" i="56"/>
  <c r="Q252" i="56"/>
  <c r="L252" i="56"/>
  <c r="Q251" i="56"/>
  <c r="L251" i="56"/>
  <c r="Q250" i="56"/>
  <c r="L250" i="56"/>
  <c r="Q249" i="56"/>
  <c r="L249" i="56"/>
  <c r="Q248" i="56"/>
  <c r="L248" i="56"/>
  <c r="Q247" i="56"/>
  <c r="L247" i="56"/>
  <c r="Q246" i="56"/>
  <c r="L246" i="56"/>
  <c r="Q245" i="56"/>
  <c r="L245" i="56"/>
  <c r="Q244" i="56"/>
  <c r="L244" i="56"/>
  <c r="Z243" i="56"/>
  <c r="Q243" i="56" s="1"/>
  <c r="M243" i="56"/>
  <c r="L243" i="56" s="1"/>
  <c r="Q242" i="56"/>
  <c r="L242" i="56"/>
  <c r="Q241" i="56"/>
  <c r="L241" i="56"/>
  <c r="Q240" i="56"/>
  <c r="L240" i="56"/>
  <c r="Q239" i="56"/>
  <c r="L239" i="56"/>
  <c r="Q238" i="56"/>
  <c r="L238" i="56"/>
  <c r="Q237" i="56"/>
  <c r="L237" i="56"/>
  <c r="Q236" i="56"/>
  <c r="L236" i="56"/>
  <c r="Q235" i="56"/>
  <c r="L235" i="56"/>
  <c r="Q234" i="56"/>
  <c r="L234" i="56"/>
  <c r="Q233" i="56"/>
  <c r="L233" i="56"/>
  <c r="Q232" i="56"/>
  <c r="L232" i="56"/>
  <c r="Z231" i="56"/>
  <c r="Q231" i="56" s="1"/>
  <c r="M231" i="56"/>
  <c r="L231" i="56" s="1"/>
  <c r="Q230" i="56"/>
  <c r="L230" i="56"/>
  <c r="Q229" i="56"/>
  <c r="L229" i="56"/>
  <c r="Q228" i="56"/>
  <c r="L228" i="56"/>
  <c r="Q227" i="56"/>
  <c r="L227" i="56"/>
  <c r="Q226" i="56"/>
  <c r="L226" i="56"/>
  <c r="Q225" i="56"/>
  <c r="L225" i="56"/>
  <c r="Q224" i="56"/>
  <c r="L224" i="56"/>
  <c r="Q223" i="56"/>
  <c r="L223" i="56"/>
  <c r="Q222" i="56"/>
  <c r="L222" i="56"/>
  <c r="Q221" i="56"/>
  <c r="L221" i="56"/>
  <c r="Q220" i="56"/>
  <c r="L220" i="56"/>
  <c r="Z219" i="56"/>
  <c r="Q219" i="56" s="1"/>
  <c r="M219" i="56"/>
  <c r="O219" i="56" s="1"/>
  <c r="Q218" i="56"/>
  <c r="L218" i="56"/>
  <c r="Q217" i="56"/>
  <c r="L217" i="56"/>
  <c r="Q216" i="56"/>
  <c r="L216" i="56"/>
  <c r="Q215" i="56"/>
  <c r="L215" i="56"/>
  <c r="Q214" i="56"/>
  <c r="L214" i="56"/>
  <c r="Q213" i="56"/>
  <c r="L213" i="56"/>
  <c r="Q212" i="56"/>
  <c r="L212" i="56"/>
  <c r="Q211" i="56"/>
  <c r="L211" i="56"/>
  <c r="Q210" i="56"/>
  <c r="L210" i="56"/>
  <c r="Q209" i="56"/>
  <c r="L209" i="56"/>
  <c r="Q208" i="56"/>
  <c r="L208" i="56"/>
  <c r="Z207" i="56"/>
  <c r="Q207" i="56"/>
  <c r="M207" i="56"/>
  <c r="O207" i="56" s="1"/>
  <c r="L207" i="56"/>
  <c r="Q206" i="56"/>
  <c r="L206" i="56"/>
  <c r="Q205" i="56"/>
  <c r="L205" i="56"/>
  <c r="Q204" i="56"/>
  <c r="L204" i="56"/>
  <c r="Q203" i="56"/>
  <c r="L203" i="56"/>
  <c r="Q202" i="56"/>
  <c r="L202" i="56"/>
  <c r="Q201" i="56"/>
  <c r="L201" i="56"/>
  <c r="Q200" i="56"/>
  <c r="L200" i="56"/>
  <c r="Q199" i="56"/>
  <c r="L199" i="56"/>
  <c r="Q198" i="56"/>
  <c r="L198" i="56"/>
  <c r="Q197" i="56"/>
  <c r="L197" i="56"/>
  <c r="Q196" i="56"/>
  <c r="L196" i="56"/>
  <c r="Z195" i="56"/>
  <c r="Q195" i="56"/>
  <c r="O195" i="56"/>
  <c r="L195" i="56"/>
  <c r="Q194" i="56"/>
  <c r="L194" i="56"/>
  <c r="Q193" i="56"/>
  <c r="L193" i="56"/>
  <c r="Q192" i="56"/>
  <c r="L192" i="56"/>
  <c r="Q191" i="56"/>
  <c r="L191" i="56"/>
  <c r="Q190" i="56"/>
  <c r="L190" i="56"/>
  <c r="Q189" i="56"/>
  <c r="L189" i="56"/>
  <c r="Q188" i="56"/>
  <c r="L188" i="56"/>
  <c r="Q187" i="56"/>
  <c r="L187" i="56"/>
  <c r="Q186" i="56"/>
  <c r="L186" i="56"/>
  <c r="Q185" i="56"/>
  <c r="L185" i="56"/>
  <c r="Q184" i="56"/>
  <c r="L184" i="56"/>
  <c r="Z183" i="56"/>
  <c r="Q183" i="56" s="1"/>
  <c r="O183" i="56"/>
  <c r="L183" i="56"/>
  <c r="Q182" i="56"/>
  <c r="L182" i="56"/>
  <c r="Q181" i="56"/>
  <c r="L181" i="56"/>
  <c r="Q180" i="56"/>
  <c r="L180" i="56"/>
  <c r="Q179" i="56"/>
  <c r="L179" i="56"/>
  <c r="Q178" i="56"/>
  <c r="L178" i="56"/>
  <c r="Q177" i="56"/>
  <c r="L177" i="56"/>
  <c r="Q176" i="56"/>
  <c r="L176" i="56"/>
  <c r="Q175" i="56"/>
  <c r="L175" i="56"/>
  <c r="Q174" i="56"/>
  <c r="L174" i="56"/>
  <c r="Q173" i="56"/>
  <c r="L173" i="56"/>
  <c r="Q172" i="56"/>
  <c r="L172" i="56"/>
  <c r="Z171" i="56"/>
  <c r="O171" i="56"/>
  <c r="G171" i="56"/>
  <c r="F171" i="56"/>
  <c r="E171" i="56"/>
  <c r="Q170" i="56"/>
  <c r="L170" i="56"/>
  <c r="Q169" i="56"/>
  <c r="L169" i="56"/>
  <c r="Q168" i="56"/>
  <c r="L168" i="56"/>
  <c r="Q167" i="56"/>
  <c r="L167" i="56"/>
  <c r="Q166" i="56"/>
  <c r="L166" i="56"/>
  <c r="Q165" i="56"/>
  <c r="L165" i="56"/>
  <c r="Q164" i="56"/>
  <c r="L164" i="56"/>
  <c r="Q163" i="56"/>
  <c r="L163" i="56"/>
  <c r="Q162" i="56"/>
  <c r="L162" i="56"/>
  <c r="Q161" i="56"/>
  <c r="L161" i="56"/>
  <c r="Q160" i="56"/>
  <c r="L160" i="56"/>
  <c r="Z159" i="56"/>
  <c r="O159" i="56"/>
  <c r="G159" i="56"/>
  <c r="F159" i="56"/>
  <c r="E159" i="56"/>
  <c r="Q158" i="56"/>
  <c r="L158" i="56"/>
  <c r="Q157" i="56"/>
  <c r="L157" i="56"/>
  <c r="Q156" i="56"/>
  <c r="L156" i="56"/>
  <c r="Q155" i="56"/>
  <c r="L155" i="56"/>
  <c r="Q154" i="56"/>
  <c r="L154" i="56"/>
  <c r="Q153" i="56"/>
  <c r="L153" i="56"/>
  <c r="Q152" i="56"/>
  <c r="L152" i="56"/>
  <c r="Q151" i="56"/>
  <c r="L151" i="56"/>
  <c r="Q150" i="56"/>
  <c r="L150" i="56"/>
  <c r="Q149" i="56"/>
  <c r="L149" i="56"/>
  <c r="Q148" i="56"/>
  <c r="L148" i="56"/>
  <c r="Z147" i="56"/>
  <c r="M147" i="56"/>
  <c r="O147" i="56" s="1"/>
  <c r="Q146" i="56"/>
  <c r="L146" i="56"/>
  <c r="Q145" i="56"/>
  <c r="L145" i="56"/>
  <c r="Q144" i="56"/>
  <c r="L144" i="56"/>
  <c r="Q143" i="56"/>
  <c r="L143" i="56"/>
  <c r="Q142" i="56"/>
  <c r="L142" i="56"/>
  <c r="Q141" i="56"/>
  <c r="L141" i="56"/>
  <c r="Q140" i="56"/>
  <c r="L140" i="56"/>
  <c r="Q139" i="56"/>
  <c r="L139" i="56"/>
  <c r="Q138" i="56"/>
  <c r="L138" i="56"/>
  <c r="Q137" i="56"/>
  <c r="L137" i="56"/>
  <c r="Q136" i="56"/>
  <c r="L136" i="56"/>
  <c r="Z135" i="56"/>
  <c r="Q135" i="56" s="1"/>
  <c r="M135" i="56"/>
  <c r="O135" i="56" s="1"/>
  <c r="Q134" i="56"/>
  <c r="L134" i="56"/>
  <c r="Q133" i="56"/>
  <c r="L133" i="56"/>
  <c r="Q132" i="56"/>
  <c r="L132" i="56"/>
  <c r="Q131" i="56"/>
  <c r="L131" i="56"/>
  <c r="Q130" i="56"/>
  <c r="L130" i="56"/>
  <c r="Q129" i="56"/>
  <c r="L129" i="56"/>
  <c r="Q128" i="56"/>
  <c r="L128" i="56"/>
  <c r="Q127" i="56"/>
  <c r="L127" i="56"/>
  <c r="Q126" i="56"/>
  <c r="L126" i="56"/>
  <c r="Q125" i="56"/>
  <c r="L125" i="56"/>
  <c r="Q124" i="56"/>
  <c r="L124" i="56"/>
  <c r="Z123" i="56"/>
  <c r="Q123" i="56" s="1"/>
  <c r="M123" i="56"/>
  <c r="L123" i="56" s="1"/>
  <c r="Q122" i="56"/>
  <c r="L122" i="56"/>
  <c r="Q121" i="56"/>
  <c r="L121" i="56"/>
  <c r="Q120" i="56"/>
  <c r="L120" i="56"/>
  <c r="Q119" i="56"/>
  <c r="L119" i="56"/>
  <c r="Q118" i="56"/>
  <c r="L118" i="56"/>
  <c r="Q117" i="56"/>
  <c r="L117" i="56"/>
  <c r="Q116" i="56"/>
  <c r="L116" i="56"/>
  <c r="Q115" i="56"/>
  <c r="L115" i="56"/>
  <c r="Q114" i="56"/>
  <c r="L114" i="56"/>
  <c r="Q113" i="56"/>
  <c r="L113" i="56"/>
  <c r="Q112" i="56"/>
  <c r="L112" i="56"/>
  <c r="Z111" i="56"/>
  <c r="Q111" i="56"/>
  <c r="M111" i="56"/>
  <c r="L111" i="56" s="1"/>
  <c r="Q110" i="56"/>
  <c r="L110" i="56"/>
  <c r="Q109" i="56"/>
  <c r="L109" i="56"/>
  <c r="Q108" i="56"/>
  <c r="L108" i="56"/>
  <c r="Q107" i="56"/>
  <c r="L107" i="56"/>
  <c r="Q106" i="56"/>
  <c r="L106" i="56"/>
  <c r="Q105" i="56"/>
  <c r="L105" i="56"/>
  <c r="Q104" i="56"/>
  <c r="L104" i="56"/>
  <c r="Q103" i="56"/>
  <c r="L103" i="56"/>
  <c r="Q102" i="56"/>
  <c r="L102" i="56"/>
  <c r="Q101" i="56"/>
  <c r="L101" i="56"/>
  <c r="Q100" i="56"/>
  <c r="L100" i="56"/>
  <c r="Z99" i="56"/>
  <c r="Q99" i="56" s="1"/>
  <c r="M99" i="56"/>
  <c r="O99" i="56" s="1"/>
  <c r="Q98" i="56"/>
  <c r="L98" i="56"/>
  <c r="Q97" i="56"/>
  <c r="L97" i="56"/>
  <c r="Q96" i="56"/>
  <c r="L96" i="56"/>
  <c r="Q95" i="56"/>
  <c r="L95" i="56"/>
  <c r="Q94" i="56"/>
  <c r="L94" i="56"/>
  <c r="Q93" i="56"/>
  <c r="L93" i="56"/>
  <c r="Q92" i="56"/>
  <c r="L92" i="56"/>
  <c r="Q91" i="56"/>
  <c r="L91" i="56"/>
  <c r="Q90" i="56"/>
  <c r="L90" i="56"/>
  <c r="Q89" i="56"/>
  <c r="L89" i="56"/>
  <c r="Q88" i="56"/>
  <c r="L88" i="56"/>
  <c r="Z87" i="56"/>
  <c r="Q87" i="56" s="1"/>
  <c r="M87" i="56"/>
  <c r="O87" i="56" s="1"/>
  <c r="Q86" i="56"/>
  <c r="L86" i="56"/>
  <c r="Q85" i="56"/>
  <c r="L85" i="56"/>
  <c r="Q84" i="56"/>
  <c r="L84" i="56"/>
  <c r="Q83" i="56"/>
  <c r="L83" i="56"/>
  <c r="Q82" i="56"/>
  <c r="L82" i="56"/>
  <c r="Q81" i="56"/>
  <c r="L81" i="56"/>
  <c r="Q80" i="56"/>
  <c r="L80" i="56"/>
  <c r="Q79" i="56"/>
  <c r="L79" i="56"/>
  <c r="Q78" i="56"/>
  <c r="L78" i="56"/>
  <c r="Q77" i="56"/>
  <c r="L77" i="56"/>
  <c r="Q76" i="56"/>
  <c r="L76" i="56"/>
  <c r="Z75" i="56"/>
  <c r="Q75" i="56" s="1"/>
  <c r="M75" i="56"/>
  <c r="L75" i="56" s="1"/>
  <c r="Q74" i="56"/>
  <c r="L74" i="56"/>
  <c r="Q73" i="56"/>
  <c r="L73" i="56"/>
  <c r="Q72" i="56"/>
  <c r="L72" i="56"/>
  <c r="Q71" i="56"/>
  <c r="L71" i="56"/>
  <c r="Q70" i="56"/>
  <c r="L70" i="56"/>
  <c r="Q69" i="56"/>
  <c r="L69" i="56"/>
  <c r="Q68" i="56"/>
  <c r="L68" i="56"/>
  <c r="Q67" i="56"/>
  <c r="L67" i="56"/>
  <c r="Q66" i="56"/>
  <c r="L66" i="56"/>
  <c r="Q65" i="56"/>
  <c r="L65" i="56"/>
  <c r="Q64" i="56"/>
  <c r="L64" i="56"/>
  <c r="Z63" i="56"/>
  <c r="Q63" i="56" s="1"/>
  <c r="M63" i="56"/>
  <c r="L63" i="56" s="1"/>
  <c r="Q62" i="56"/>
  <c r="L62" i="56"/>
  <c r="Q61" i="56"/>
  <c r="L61" i="56"/>
  <c r="Q60" i="56"/>
  <c r="L60" i="56"/>
  <c r="Q59" i="56"/>
  <c r="L59" i="56"/>
  <c r="Q58" i="56"/>
  <c r="L58" i="56"/>
  <c r="Q57" i="56"/>
  <c r="L57" i="56"/>
  <c r="Q56" i="56"/>
  <c r="L56" i="56"/>
  <c r="Q55" i="56"/>
  <c r="L55" i="56"/>
  <c r="Q54" i="56"/>
  <c r="L54" i="56"/>
  <c r="Q53" i="56"/>
  <c r="L53" i="56"/>
  <c r="Q52" i="56"/>
  <c r="L52" i="56"/>
  <c r="Z51" i="56"/>
  <c r="Q51" i="56" s="1"/>
  <c r="M51" i="56"/>
  <c r="O51" i="56" s="1"/>
  <c r="L51" i="56"/>
  <c r="Q50" i="56"/>
  <c r="L50" i="56"/>
  <c r="Q49" i="56"/>
  <c r="L49" i="56"/>
  <c r="Q48" i="56"/>
  <c r="L48" i="56"/>
  <c r="Q47" i="56"/>
  <c r="L47" i="56"/>
  <c r="Q46" i="56"/>
  <c r="L46" i="56"/>
  <c r="Q45" i="56"/>
  <c r="L45" i="56"/>
  <c r="Q44" i="56"/>
  <c r="L44" i="56"/>
  <c r="Q43" i="56"/>
  <c r="L43" i="56"/>
  <c r="Q42" i="56"/>
  <c r="L42" i="56"/>
  <c r="Q41" i="56"/>
  <c r="L41" i="56"/>
  <c r="Q40" i="56"/>
  <c r="L40" i="56"/>
  <c r="Z39" i="56"/>
  <c r="Q39" i="56"/>
  <c r="M39" i="56"/>
  <c r="O39" i="56" s="1"/>
  <c r="Q38" i="56"/>
  <c r="L38" i="56"/>
  <c r="Q37" i="56"/>
  <c r="L37" i="56"/>
  <c r="Q36" i="56"/>
  <c r="L36" i="56"/>
  <c r="Q35" i="56"/>
  <c r="L35" i="56"/>
  <c r="Q34" i="56"/>
  <c r="L34" i="56"/>
  <c r="Q33" i="56"/>
  <c r="L33" i="56"/>
  <c r="Q32" i="56"/>
  <c r="L32" i="56"/>
  <c r="Q31" i="56"/>
  <c r="L31" i="56"/>
  <c r="Q30" i="56"/>
  <c r="L30" i="56"/>
  <c r="Q29" i="56"/>
  <c r="L29" i="56"/>
  <c r="Q28" i="56"/>
  <c r="L28" i="56"/>
  <c r="Z27" i="56"/>
  <c r="Q27" i="56" s="1"/>
  <c r="M27" i="56"/>
  <c r="O27" i="56" s="1"/>
  <c r="Q26" i="56"/>
  <c r="L26" i="56"/>
  <c r="Q25" i="56"/>
  <c r="L25" i="56"/>
  <c r="Q24" i="56"/>
  <c r="L24" i="56"/>
  <c r="Q23" i="56"/>
  <c r="L23" i="56"/>
  <c r="Q22" i="56"/>
  <c r="L22" i="56"/>
  <c r="Q21" i="56"/>
  <c r="L21" i="56"/>
  <c r="Q20" i="56"/>
  <c r="L20" i="56"/>
  <c r="Q19" i="56"/>
  <c r="L19" i="56"/>
  <c r="Q18" i="56"/>
  <c r="L18" i="56"/>
  <c r="Q17" i="56"/>
  <c r="L17" i="56"/>
  <c r="Q16" i="56"/>
  <c r="L16" i="56"/>
  <c r="Z15" i="56"/>
  <c r="Q15" i="56" s="1"/>
  <c r="M15" i="56"/>
  <c r="L15" i="56" s="1"/>
  <c r="Q14" i="56"/>
  <c r="L14" i="56"/>
  <c r="Q13" i="56"/>
  <c r="L13" i="56"/>
  <c r="Q12" i="56"/>
  <c r="L12" i="56"/>
  <c r="Q11" i="56"/>
  <c r="L11" i="56"/>
  <c r="Q10" i="56"/>
  <c r="L10" i="56"/>
  <c r="Q9" i="56"/>
  <c r="L9" i="56"/>
  <c r="Q8" i="56"/>
  <c r="L8" i="56"/>
  <c r="Q7" i="56"/>
  <c r="L7" i="56"/>
  <c r="Q6" i="56"/>
  <c r="L6" i="56"/>
  <c r="Q5" i="56"/>
  <c r="L5" i="56"/>
  <c r="Q4" i="56"/>
  <c r="L4" i="56"/>
  <c r="Z3" i="56"/>
  <c r="Q3" i="56" s="1"/>
  <c r="M3" i="56"/>
  <c r="O3" i="56" s="1"/>
  <c r="L3" i="56"/>
  <c r="J3" i="56"/>
  <c r="Q2" i="56"/>
  <c r="L2" i="56"/>
  <c r="M291" i="55"/>
  <c r="P291" i="55" s="1"/>
  <c r="G291" i="55"/>
  <c r="R539" i="55"/>
  <c r="L539" i="55"/>
  <c r="R538" i="55"/>
  <c r="L538" i="55"/>
  <c r="R537" i="55"/>
  <c r="L537" i="55"/>
  <c r="R536" i="55"/>
  <c r="L536" i="55"/>
  <c r="R535" i="55"/>
  <c r="L535" i="55"/>
  <c r="R534" i="55"/>
  <c r="L534" i="55"/>
  <c r="R533" i="55"/>
  <c r="L533" i="55"/>
  <c r="R532" i="55"/>
  <c r="L532" i="55"/>
  <c r="Q531" i="55"/>
  <c r="R531" i="55" s="1"/>
  <c r="P531" i="55"/>
  <c r="R530" i="55"/>
  <c r="L530" i="55"/>
  <c r="R529" i="55"/>
  <c r="L529" i="55"/>
  <c r="R528" i="55"/>
  <c r="L528" i="55"/>
  <c r="R527" i="55"/>
  <c r="L527" i="55"/>
  <c r="R526" i="55"/>
  <c r="L526" i="55"/>
  <c r="R525" i="55"/>
  <c r="L525" i="55"/>
  <c r="R524" i="55"/>
  <c r="L524" i="55"/>
  <c r="R523" i="55"/>
  <c r="L523" i="55"/>
  <c r="R522" i="55"/>
  <c r="L522" i="55"/>
  <c r="R521" i="55"/>
  <c r="L521" i="55"/>
  <c r="R520" i="55"/>
  <c r="L520" i="55"/>
  <c r="Q519" i="55"/>
  <c r="R519" i="55" s="1"/>
  <c r="M519" i="55"/>
  <c r="P519" i="55" s="1"/>
  <c r="R518" i="55"/>
  <c r="L518" i="55"/>
  <c r="R517" i="55"/>
  <c r="L517" i="55"/>
  <c r="R516" i="55"/>
  <c r="L516" i="55"/>
  <c r="R515" i="55"/>
  <c r="L515" i="55"/>
  <c r="R514" i="55"/>
  <c r="L514" i="55"/>
  <c r="R513" i="55"/>
  <c r="L513" i="55"/>
  <c r="R512" i="55"/>
  <c r="L512" i="55"/>
  <c r="R511" i="55"/>
  <c r="L511" i="55"/>
  <c r="R510" i="55"/>
  <c r="L510" i="55"/>
  <c r="R509" i="55"/>
  <c r="L509" i="55"/>
  <c r="R508" i="55"/>
  <c r="L508" i="55"/>
  <c r="Q507" i="55"/>
  <c r="R507" i="55" s="1"/>
  <c r="M507" i="55"/>
  <c r="L507" i="55" s="1"/>
  <c r="R506" i="55"/>
  <c r="L506" i="55"/>
  <c r="R505" i="55"/>
  <c r="L505" i="55"/>
  <c r="R504" i="55"/>
  <c r="L504" i="55"/>
  <c r="R503" i="55"/>
  <c r="L503" i="55"/>
  <c r="R502" i="55"/>
  <c r="L502" i="55"/>
  <c r="R501" i="55"/>
  <c r="L501" i="55"/>
  <c r="R500" i="55"/>
  <c r="L500" i="55"/>
  <c r="R499" i="55"/>
  <c r="L499" i="55"/>
  <c r="R498" i="55"/>
  <c r="L498" i="55"/>
  <c r="R497" i="55"/>
  <c r="L497" i="55"/>
  <c r="R496" i="55"/>
  <c r="L496" i="55"/>
  <c r="R494" i="55"/>
  <c r="L494" i="55"/>
  <c r="R493" i="55"/>
  <c r="L493" i="55"/>
  <c r="R492" i="55"/>
  <c r="L492" i="55"/>
  <c r="R491" i="55"/>
  <c r="L491" i="55"/>
  <c r="R490" i="55"/>
  <c r="L490" i="55"/>
  <c r="R489" i="55"/>
  <c r="L489" i="55"/>
  <c r="R488" i="55"/>
  <c r="L488" i="55"/>
  <c r="R487" i="55"/>
  <c r="L487" i="55"/>
  <c r="R486" i="55"/>
  <c r="L486" i="55"/>
  <c r="R485" i="55"/>
  <c r="L485" i="55"/>
  <c r="R484" i="55"/>
  <c r="L484" i="55"/>
  <c r="R482" i="55"/>
  <c r="L482" i="55"/>
  <c r="R481" i="55"/>
  <c r="L481" i="55"/>
  <c r="R480" i="55"/>
  <c r="L480" i="55"/>
  <c r="R479" i="55"/>
  <c r="L479" i="55"/>
  <c r="R478" i="55"/>
  <c r="L478" i="55"/>
  <c r="R477" i="55"/>
  <c r="L477" i="55"/>
  <c r="R476" i="55"/>
  <c r="L476" i="55"/>
  <c r="R475" i="55"/>
  <c r="L475" i="55"/>
  <c r="R474" i="55"/>
  <c r="L474" i="55"/>
  <c r="R473" i="55"/>
  <c r="L473" i="55"/>
  <c r="R472" i="55"/>
  <c r="L472" i="55"/>
  <c r="P471" i="55"/>
  <c r="R470" i="55"/>
  <c r="L470" i="55"/>
  <c r="R469" i="55"/>
  <c r="L469" i="55"/>
  <c r="R468" i="55"/>
  <c r="L468" i="55"/>
  <c r="R467" i="55"/>
  <c r="L467" i="55"/>
  <c r="R466" i="55"/>
  <c r="L466" i="55"/>
  <c r="R465" i="55"/>
  <c r="L465" i="55"/>
  <c r="R464" i="55"/>
  <c r="L464" i="55"/>
  <c r="R463" i="55"/>
  <c r="L463" i="55"/>
  <c r="R462" i="55"/>
  <c r="L462" i="55"/>
  <c r="R461" i="55"/>
  <c r="L461" i="55"/>
  <c r="R460" i="55"/>
  <c r="L460" i="55"/>
  <c r="Q459" i="55"/>
  <c r="R459" i="55" s="1"/>
  <c r="M459" i="55"/>
  <c r="P459" i="55" s="1"/>
  <c r="R458" i="55"/>
  <c r="L458" i="55"/>
  <c r="R457" i="55"/>
  <c r="L457" i="55"/>
  <c r="R456" i="55"/>
  <c r="L456" i="55"/>
  <c r="R455" i="55"/>
  <c r="L455" i="55"/>
  <c r="R454" i="55"/>
  <c r="L454" i="55"/>
  <c r="R453" i="55"/>
  <c r="L453" i="55"/>
  <c r="R452" i="55"/>
  <c r="L452" i="55"/>
  <c r="R451" i="55"/>
  <c r="L451" i="55"/>
  <c r="R450" i="55"/>
  <c r="L450" i="55"/>
  <c r="R449" i="55"/>
  <c r="L449" i="55"/>
  <c r="R448" i="55"/>
  <c r="L448" i="55"/>
  <c r="Q447" i="55"/>
  <c r="R447" i="55" s="1"/>
  <c r="M447" i="55"/>
  <c r="P447" i="55" s="1"/>
  <c r="R446" i="55"/>
  <c r="L446" i="55"/>
  <c r="M435" i="55"/>
  <c r="L435" i="55" s="1"/>
  <c r="K435" i="55"/>
  <c r="R434" i="55"/>
  <c r="L434" i="55"/>
  <c r="R433" i="55"/>
  <c r="L433" i="55"/>
  <c r="R432" i="55"/>
  <c r="L432" i="55"/>
  <c r="R431" i="55"/>
  <c r="L431" i="55"/>
  <c r="R430" i="55"/>
  <c r="L430" i="55"/>
  <c r="R429" i="55"/>
  <c r="L429" i="55"/>
  <c r="R428" i="55"/>
  <c r="L428" i="55"/>
  <c r="R427" i="55"/>
  <c r="L427" i="55"/>
  <c r="R426" i="55"/>
  <c r="L426" i="55"/>
  <c r="R425" i="55"/>
  <c r="L425" i="55"/>
  <c r="R424" i="55"/>
  <c r="L424" i="55"/>
  <c r="Q423" i="55"/>
  <c r="R423" i="55" s="1"/>
  <c r="M423" i="55"/>
  <c r="L423" i="55" s="1"/>
  <c r="R422" i="55"/>
  <c r="L422" i="55"/>
  <c r="R421" i="55"/>
  <c r="L421" i="55"/>
  <c r="R420" i="55"/>
  <c r="L420" i="55"/>
  <c r="R419" i="55"/>
  <c r="L419" i="55"/>
  <c r="R418" i="55"/>
  <c r="L418" i="55"/>
  <c r="R417" i="55"/>
  <c r="L417" i="55"/>
  <c r="R416" i="55"/>
  <c r="L416" i="55"/>
  <c r="R415" i="55"/>
  <c r="L415" i="55"/>
  <c r="R414" i="55"/>
  <c r="L414" i="55"/>
  <c r="R413" i="55"/>
  <c r="L413" i="55"/>
  <c r="R412" i="55"/>
  <c r="L412" i="55"/>
  <c r="Q411" i="55"/>
  <c r="R411" i="55" s="1"/>
  <c r="M411" i="55"/>
  <c r="L411" i="55" s="1"/>
  <c r="R410" i="55"/>
  <c r="L410" i="55"/>
  <c r="M399" i="55"/>
  <c r="K399" i="55"/>
  <c r="Q399" i="55" s="1"/>
  <c r="R399" i="55" s="1"/>
  <c r="R398" i="55"/>
  <c r="L398" i="55"/>
  <c r="R397" i="55"/>
  <c r="L397" i="55"/>
  <c r="R396" i="55"/>
  <c r="L396" i="55"/>
  <c r="R395" i="55"/>
  <c r="L395" i="55"/>
  <c r="R394" i="55"/>
  <c r="L394" i="55"/>
  <c r="R393" i="55"/>
  <c r="L393" i="55"/>
  <c r="W392" i="55"/>
  <c r="R392" i="55"/>
  <c r="L392" i="55"/>
  <c r="R391" i="55"/>
  <c r="L391" i="55"/>
  <c r="R390" i="55"/>
  <c r="L390" i="55"/>
  <c r="R389" i="55"/>
  <c r="L389" i="55"/>
  <c r="R388" i="55"/>
  <c r="L388" i="55"/>
  <c r="Q387" i="55"/>
  <c r="R387" i="55" s="1"/>
  <c r="P387" i="55"/>
  <c r="M387" i="55"/>
  <c r="L387" i="55" s="1"/>
  <c r="R386" i="55"/>
  <c r="L386" i="55"/>
  <c r="R385" i="55"/>
  <c r="L385" i="55"/>
  <c r="R384" i="55"/>
  <c r="L384" i="55"/>
  <c r="R383" i="55"/>
  <c r="L383" i="55"/>
  <c r="R382" i="55"/>
  <c r="L382" i="55"/>
  <c r="R381" i="55"/>
  <c r="L381" i="55"/>
  <c r="R380" i="55"/>
  <c r="L380" i="55"/>
  <c r="R379" i="55"/>
  <c r="L379" i="55"/>
  <c r="R378" i="55"/>
  <c r="L378" i="55"/>
  <c r="R377" i="55"/>
  <c r="L377" i="55"/>
  <c r="R376" i="55"/>
  <c r="L376" i="55"/>
  <c r="Q375" i="55"/>
  <c r="R375" i="55" s="1"/>
  <c r="M375" i="55"/>
  <c r="P375" i="55" s="1"/>
  <c r="R374" i="55"/>
  <c r="L374" i="55"/>
  <c r="R373" i="55"/>
  <c r="L373" i="55"/>
  <c r="R372" i="55"/>
  <c r="L372" i="55"/>
  <c r="R371" i="55"/>
  <c r="L371" i="55"/>
  <c r="R370" i="55"/>
  <c r="L370" i="55"/>
  <c r="R369" i="55"/>
  <c r="L369" i="55"/>
  <c r="R368" i="55"/>
  <c r="L368" i="55"/>
  <c r="R367" i="55"/>
  <c r="L367" i="55"/>
  <c r="R366" i="55"/>
  <c r="L366" i="55"/>
  <c r="R365" i="55"/>
  <c r="L365" i="55"/>
  <c r="R364" i="55"/>
  <c r="L364" i="55"/>
  <c r="Q363" i="55"/>
  <c r="R363" i="55" s="1"/>
  <c r="M363" i="55"/>
  <c r="P363" i="55" s="1"/>
  <c r="G363" i="55"/>
  <c r="F363" i="55"/>
  <c r="E363" i="55"/>
  <c r="R362" i="55"/>
  <c r="L362" i="55"/>
  <c r="R361" i="55"/>
  <c r="L361" i="55"/>
  <c r="R360" i="55"/>
  <c r="L360" i="55"/>
  <c r="R359" i="55"/>
  <c r="L359" i="55"/>
  <c r="R358" i="55"/>
  <c r="L358" i="55"/>
  <c r="R357" i="55"/>
  <c r="L357" i="55"/>
  <c r="R356" i="55"/>
  <c r="L356" i="55"/>
  <c r="R355" i="55"/>
  <c r="L355" i="55"/>
  <c r="R354" i="55"/>
  <c r="L354" i="55"/>
  <c r="R353" i="55"/>
  <c r="L353" i="55"/>
  <c r="R352" i="55"/>
  <c r="L352" i="55"/>
  <c r="Q351" i="55"/>
  <c r="R351" i="55" s="1"/>
  <c r="M351" i="55"/>
  <c r="L351" i="55" s="1"/>
  <c r="R350" i="55"/>
  <c r="L350" i="55"/>
  <c r="R349" i="55"/>
  <c r="L349" i="55"/>
  <c r="R348" i="55"/>
  <c r="L348" i="55"/>
  <c r="R347" i="55"/>
  <c r="L347" i="55"/>
  <c r="R346" i="55"/>
  <c r="L346" i="55"/>
  <c r="R345" i="55"/>
  <c r="L345" i="55"/>
  <c r="R344" i="55"/>
  <c r="L344" i="55"/>
  <c r="R343" i="55"/>
  <c r="L343" i="55"/>
  <c r="R342" i="55"/>
  <c r="L342" i="55"/>
  <c r="R341" i="55"/>
  <c r="L341" i="55"/>
  <c r="R340" i="55"/>
  <c r="L340" i="55"/>
  <c r="Q339" i="55"/>
  <c r="R339" i="55" s="1"/>
  <c r="P339" i="55"/>
  <c r="L339" i="55"/>
  <c r="R338" i="55"/>
  <c r="L338" i="55"/>
  <c r="R337" i="55"/>
  <c r="L337" i="55"/>
  <c r="R336" i="55"/>
  <c r="L336" i="55"/>
  <c r="R335" i="55"/>
  <c r="L335" i="55"/>
  <c r="R334" i="55"/>
  <c r="L334" i="55"/>
  <c r="R333" i="55"/>
  <c r="L333" i="55"/>
  <c r="R332" i="55"/>
  <c r="L332" i="55"/>
  <c r="R331" i="55"/>
  <c r="L331" i="55"/>
  <c r="R330" i="55"/>
  <c r="L330" i="55"/>
  <c r="R329" i="55"/>
  <c r="L329" i="55"/>
  <c r="R328" i="55"/>
  <c r="L328" i="55"/>
  <c r="Q327" i="55"/>
  <c r="R327" i="55" s="1"/>
  <c r="M327" i="55"/>
  <c r="L327" i="55" s="1"/>
  <c r="R326" i="55"/>
  <c r="L326" i="55"/>
  <c r="R325" i="55"/>
  <c r="L325" i="55"/>
  <c r="R324" i="55"/>
  <c r="L324" i="55"/>
  <c r="R323" i="55"/>
  <c r="L323" i="55"/>
  <c r="R322" i="55"/>
  <c r="L322" i="55"/>
  <c r="R321" i="55"/>
  <c r="L321" i="55"/>
  <c r="R320" i="55"/>
  <c r="L320" i="55"/>
  <c r="R319" i="55"/>
  <c r="L319" i="55"/>
  <c r="R318" i="55"/>
  <c r="L318" i="55"/>
  <c r="R317" i="55"/>
  <c r="L317" i="55"/>
  <c r="R316" i="55"/>
  <c r="L316" i="55"/>
  <c r="Q315" i="55"/>
  <c r="R315" i="55" s="1"/>
  <c r="M315" i="55"/>
  <c r="L315" i="55" s="1"/>
  <c r="R314" i="55"/>
  <c r="L314" i="55"/>
  <c r="R313" i="55"/>
  <c r="L313" i="55"/>
  <c r="R312" i="55"/>
  <c r="L312" i="55"/>
  <c r="R311" i="55"/>
  <c r="L311" i="55"/>
  <c r="R310" i="55"/>
  <c r="L310" i="55"/>
  <c r="R309" i="55"/>
  <c r="L309" i="55"/>
  <c r="R308" i="55"/>
  <c r="L308" i="55"/>
  <c r="R307" i="55"/>
  <c r="L307" i="55"/>
  <c r="R306" i="55"/>
  <c r="L306" i="55"/>
  <c r="R305" i="55"/>
  <c r="L305" i="55"/>
  <c r="R304" i="55"/>
  <c r="L304" i="55"/>
  <c r="Q303" i="55"/>
  <c r="R303" i="55" s="1"/>
  <c r="P303" i="55"/>
  <c r="L303" i="55"/>
  <c r="R302" i="55"/>
  <c r="L302" i="55"/>
  <c r="R301" i="55"/>
  <c r="L301" i="55"/>
  <c r="R300" i="55"/>
  <c r="L300" i="55"/>
  <c r="R299" i="55"/>
  <c r="L299" i="55"/>
  <c r="R298" i="55"/>
  <c r="L298" i="55"/>
  <c r="R297" i="55"/>
  <c r="L297" i="55"/>
  <c r="R296" i="55"/>
  <c r="L296" i="55"/>
  <c r="R295" i="55"/>
  <c r="L295" i="55"/>
  <c r="R294" i="55"/>
  <c r="L294" i="55"/>
  <c r="R293" i="55"/>
  <c r="L293" i="55"/>
  <c r="R292" i="55"/>
  <c r="L292" i="55"/>
  <c r="Q291" i="55"/>
  <c r="R290" i="55"/>
  <c r="L290" i="55"/>
  <c r="R289" i="55"/>
  <c r="L289" i="55"/>
  <c r="R288" i="55"/>
  <c r="L288" i="55"/>
  <c r="R287" i="55"/>
  <c r="L287" i="55"/>
  <c r="R286" i="55"/>
  <c r="L286" i="55"/>
  <c r="R285" i="55"/>
  <c r="L285" i="55"/>
  <c r="R284" i="55"/>
  <c r="L284" i="55"/>
  <c r="R283" i="55"/>
  <c r="L283" i="55"/>
  <c r="R282" i="55"/>
  <c r="L282" i="55"/>
  <c r="R281" i="55"/>
  <c r="L281" i="55"/>
  <c r="R280" i="55"/>
  <c r="L280" i="55"/>
  <c r="Q279" i="55"/>
  <c r="R279" i="55" s="1"/>
  <c r="M279" i="55"/>
  <c r="P279" i="55" s="1"/>
  <c r="R278" i="55"/>
  <c r="L278" i="55"/>
  <c r="R277" i="55"/>
  <c r="L277" i="55"/>
  <c r="R276" i="55"/>
  <c r="L276" i="55"/>
  <c r="R275" i="55"/>
  <c r="L275" i="55"/>
  <c r="R274" i="55"/>
  <c r="L274" i="55"/>
  <c r="R273" i="55"/>
  <c r="L273" i="55"/>
  <c r="R272" i="55"/>
  <c r="L272" i="55"/>
  <c r="R271" i="55"/>
  <c r="L271" i="55"/>
  <c r="R270" i="55"/>
  <c r="L270" i="55"/>
  <c r="R269" i="55"/>
  <c r="L269" i="55"/>
  <c r="R268" i="55"/>
  <c r="L268" i="55"/>
  <c r="Q267" i="55"/>
  <c r="R267" i="55" s="1"/>
  <c r="M267" i="55"/>
  <c r="L267" i="55" s="1"/>
  <c r="R266" i="55"/>
  <c r="L266" i="55"/>
  <c r="R265" i="55"/>
  <c r="L265" i="55"/>
  <c r="R264" i="55"/>
  <c r="L264" i="55"/>
  <c r="R263" i="55"/>
  <c r="L263" i="55"/>
  <c r="R262" i="55"/>
  <c r="L262" i="55"/>
  <c r="R261" i="55"/>
  <c r="L261" i="55"/>
  <c r="R260" i="55"/>
  <c r="L260" i="55"/>
  <c r="R259" i="55"/>
  <c r="L259" i="55"/>
  <c r="R258" i="55"/>
  <c r="L258" i="55"/>
  <c r="R257" i="55"/>
  <c r="L257" i="55"/>
  <c r="R256" i="55"/>
  <c r="L256" i="55"/>
  <c r="Q255" i="55"/>
  <c r="R255" i="55" s="1"/>
  <c r="M255" i="55"/>
  <c r="L255" i="55" s="1"/>
  <c r="R254" i="55"/>
  <c r="L254" i="55"/>
  <c r="R253" i="55"/>
  <c r="L253" i="55"/>
  <c r="R252" i="55"/>
  <c r="L252" i="55"/>
  <c r="R251" i="55"/>
  <c r="L251" i="55"/>
  <c r="R250" i="55"/>
  <c r="L250" i="55"/>
  <c r="R249" i="55"/>
  <c r="L249" i="55"/>
  <c r="R248" i="55"/>
  <c r="L248" i="55"/>
  <c r="R247" i="55"/>
  <c r="L247" i="55"/>
  <c r="R246" i="55"/>
  <c r="L246" i="55"/>
  <c r="R245" i="55"/>
  <c r="L245" i="55"/>
  <c r="R244" i="55"/>
  <c r="L244" i="55"/>
  <c r="Q243" i="55"/>
  <c r="R243" i="55" s="1"/>
  <c r="M243" i="55"/>
  <c r="P243" i="55" s="1"/>
  <c r="R242" i="55"/>
  <c r="L242" i="55"/>
  <c r="R241" i="55"/>
  <c r="L241" i="55"/>
  <c r="R240" i="55"/>
  <c r="L240" i="55"/>
  <c r="R239" i="55"/>
  <c r="L239" i="55"/>
  <c r="R238" i="55"/>
  <c r="L238" i="55"/>
  <c r="R237" i="55"/>
  <c r="L237" i="55"/>
  <c r="R236" i="55"/>
  <c r="L236" i="55"/>
  <c r="R235" i="55"/>
  <c r="L235" i="55"/>
  <c r="R234" i="55"/>
  <c r="L234" i="55"/>
  <c r="R233" i="55"/>
  <c r="L233" i="55"/>
  <c r="R232" i="55"/>
  <c r="L232" i="55"/>
  <c r="Q231" i="55"/>
  <c r="R231" i="55" s="1"/>
  <c r="M231" i="55"/>
  <c r="P231" i="55" s="1"/>
  <c r="R230" i="55"/>
  <c r="L230" i="55"/>
  <c r="R229" i="55"/>
  <c r="L229" i="55"/>
  <c r="R228" i="55"/>
  <c r="L228" i="55"/>
  <c r="R227" i="55"/>
  <c r="L227" i="55"/>
  <c r="R226" i="55"/>
  <c r="L226" i="55"/>
  <c r="R225" i="55"/>
  <c r="L225" i="55"/>
  <c r="R224" i="55"/>
  <c r="L224" i="55"/>
  <c r="R223" i="55"/>
  <c r="L223" i="55"/>
  <c r="R222" i="55"/>
  <c r="L222" i="55"/>
  <c r="R221" i="55"/>
  <c r="L221" i="55"/>
  <c r="R220" i="55"/>
  <c r="L220" i="55"/>
  <c r="Q219" i="55"/>
  <c r="R219" i="55" s="1"/>
  <c r="P219" i="55"/>
  <c r="L219" i="55"/>
  <c r="R218" i="55"/>
  <c r="L218" i="55"/>
  <c r="R217" i="55"/>
  <c r="L217" i="55"/>
  <c r="R216" i="55"/>
  <c r="L216" i="55"/>
  <c r="R215" i="55"/>
  <c r="L215" i="55"/>
  <c r="R214" i="55"/>
  <c r="L214" i="55"/>
  <c r="R213" i="55"/>
  <c r="L213" i="55"/>
  <c r="R212" i="55"/>
  <c r="L212" i="55"/>
  <c r="R211" i="55"/>
  <c r="L211" i="55"/>
  <c r="R210" i="55"/>
  <c r="L210" i="55"/>
  <c r="R209" i="55"/>
  <c r="L209" i="55"/>
  <c r="R208" i="55"/>
  <c r="L208" i="55"/>
  <c r="Q207" i="55"/>
  <c r="R207" i="55" s="1"/>
  <c r="P207" i="55"/>
  <c r="L207" i="55"/>
  <c r="R206" i="55"/>
  <c r="L206" i="55"/>
  <c r="R205" i="55"/>
  <c r="L205" i="55"/>
  <c r="R204" i="55"/>
  <c r="L204" i="55"/>
  <c r="R203" i="55"/>
  <c r="L203" i="55"/>
  <c r="R202" i="55"/>
  <c r="L202" i="55"/>
  <c r="R201" i="55"/>
  <c r="L201" i="55"/>
  <c r="R200" i="55"/>
  <c r="L200" i="55"/>
  <c r="R199" i="55"/>
  <c r="L199" i="55"/>
  <c r="R198" i="55"/>
  <c r="L198" i="55"/>
  <c r="R197" i="55"/>
  <c r="L197" i="55"/>
  <c r="R196" i="55"/>
  <c r="L196" i="55"/>
  <c r="Q195" i="55"/>
  <c r="P195" i="55"/>
  <c r="G195" i="55"/>
  <c r="F195" i="55"/>
  <c r="E195" i="55"/>
  <c r="R194" i="55"/>
  <c r="L194" i="55"/>
  <c r="R193" i="55"/>
  <c r="L193" i="55"/>
  <c r="R192" i="55"/>
  <c r="L192" i="55"/>
  <c r="R191" i="55"/>
  <c r="L191" i="55"/>
  <c r="R190" i="55"/>
  <c r="L190" i="55"/>
  <c r="R189" i="55"/>
  <c r="L189" i="55"/>
  <c r="R188" i="55"/>
  <c r="L188" i="55"/>
  <c r="R187" i="55"/>
  <c r="L187" i="55"/>
  <c r="R186" i="55"/>
  <c r="L186" i="55"/>
  <c r="R185" i="55"/>
  <c r="L185" i="55"/>
  <c r="R184" i="55"/>
  <c r="L184" i="55"/>
  <c r="Q183" i="55"/>
  <c r="P183" i="55"/>
  <c r="G183" i="55"/>
  <c r="F183" i="55"/>
  <c r="E183" i="55"/>
  <c r="R182" i="55"/>
  <c r="L182" i="55"/>
  <c r="R181" i="55"/>
  <c r="L181" i="55"/>
  <c r="R180" i="55"/>
  <c r="L180" i="55"/>
  <c r="R179" i="55"/>
  <c r="L179" i="55"/>
  <c r="R178" i="55"/>
  <c r="L178" i="55"/>
  <c r="R177" i="55"/>
  <c r="L177" i="55"/>
  <c r="R176" i="55"/>
  <c r="L176" i="55"/>
  <c r="R175" i="55"/>
  <c r="L175" i="55"/>
  <c r="R174" i="55"/>
  <c r="L174" i="55"/>
  <c r="R173" i="55"/>
  <c r="L173" i="55"/>
  <c r="R172" i="55"/>
  <c r="L172" i="55"/>
  <c r="Q171" i="55"/>
  <c r="M171" i="55"/>
  <c r="P171" i="55" s="1"/>
  <c r="R170" i="55"/>
  <c r="L170" i="55"/>
  <c r="R169" i="55"/>
  <c r="L169" i="55"/>
  <c r="R168" i="55"/>
  <c r="L168" i="55"/>
  <c r="R167" i="55"/>
  <c r="L167" i="55"/>
  <c r="R166" i="55"/>
  <c r="L166" i="55"/>
  <c r="R165" i="55"/>
  <c r="L165" i="55"/>
  <c r="R164" i="55"/>
  <c r="L164" i="55"/>
  <c r="R163" i="55"/>
  <c r="L163" i="55"/>
  <c r="R162" i="55"/>
  <c r="L162" i="55"/>
  <c r="R161" i="55"/>
  <c r="L161" i="55"/>
  <c r="R160" i="55"/>
  <c r="L160" i="55"/>
  <c r="Q159" i="55"/>
  <c r="R159" i="55" s="1"/>
  <c r="M159" i="55"/>
  <c r="P159" i="55" s="1"/>
  <c r="R158" i="55"/>
  <c r="L158" i="55"/>
  <c r="R157" i="55"/>
  <c r="L157" i="55"/>
  <c r="R156" i="55"/>
  <c r="L156" i="55"/>
  <c r="R155" i="55"/>
  <c r="L155" i="55"/>
  <c r="R154" i="55"/>
  <c r="L154" i="55"/>
  <c r="R153" i="55"/>
  <c r="L153" i="55"/>
  <c r="R152" i="55"/>
  <c r="L152" i="55"/>
  <c r="R151" i="55"/>
  <c r="L151" i="55"/>
  <c r="R150" i="55"/>
  <c r="L150" i="55"/>
  <c r="R149" i="55"/>
  <c r="L149" i="55"/>
  <c r="R148" i="55"/>
  <c r="L148" i="55"/>
  <c r="Q147" i="55"/>
  <c r="R147" i="55" s="1"/>
  <c r="P147" i="55"/>
  <c r="L147" i="55"/>
  <c r="R146" i="55"/>
  <c r="L146" i="55"/>
  <c r="R145" i="55"/>
  <c r="L145" i="55"/>
  <c r="R144" i="55"/>
  <c r="L144" i="55"/>
  <c r="R143" i="55"/>
  <c r="L143" i="55"/>
  <c r="R142" i="55"/>
  <c r="L142" i="55"/>
  <c r="R141" i="55"/>
  <c r="L141" i="55"/>
  <c r="R140" i="55"/>
  <c r="L140" i="55"/>
  <c r="R139" i="55"/>
  <c r="L139" i="55"/>
  <c r="R138" i="55"/>
  <c r="L138" i="55"/>
  <c r="R137" i="55"/>
  <c r="L137" i="55"/>
  <c r="R136" i="55"/>
  <c r="L136" i="55"/>
  <c r="Q135" i="55"/>
  <c r="R135" i="55" s="1"/>
  <c r="P135" i="55"/>
  <c r="R134" i="55"/>
  <c r="L134" i="55"/>
  <c r="R133" i="55"/>
  <c r="L133" i="55"/>
  <c r="R132" i="55"/>
  <c r="L132" i="55"/>
  <c r="R131" i="55"/>
  <c r="L131" i="55"/>
  <c r="R130" i="55"/>
  <c r="L130" i="55"/>
  <c r="R129" i="55"/>
  <c r="L129" i="55"/>
  <c r="R128" i="55"/>
  <c r="L128" i="55"/>
  <c r="R127" i="55"/>
  <c r="L127" i="55"/>
  <c r="R126" i="55"/>
  <c r="L126" i="55"/>
  <c r="R125" i="55"/>
  <c r="L125" i="55"/>
  <c r="R124" i="55"/>
  <c r="L124" i="55"/>
  <c r="Q123" i="55"/>
  <c r="R123" i="55" s="1"/>
  <c r="M123" i="55"/>
  <c r="L123" i="55" s="1"/>
  <c r="R122" i="55"/>
  <c r="L122" i="55"/>
  <c r="R121" i="55"/>
  <c r="L121" i="55"/>
  <c r="R120" i="55"/>
  <c r="L120" i="55"/>
  <c r="R119" i="55"/>
  <c r="L119" i="55"/>
  <c r="R118" i="55"/>
  <c r="L118" i="55"/>
  <c r="R117" i="55"/>
  <c r="L117" i="55"/>
  <c r="R116" i="55"/>
  <c r="L116" i="55"/>
  <c r="R115" i="55"/>
  <c r="L115" i="55"/>
  <c r="R114" i="55"/>
  <c r="L114" i="55"/>
  <c r="R113" i="55"/>
  <c r="L113" i="55"/>
  <c r="R112" i="55"/>
  <c r="L112" i="55"/>
  <c r="Q111" i="55"/>
  <c r="R111" i="55" s="1"/>
  <c r="M111" i="55"/>
  <c r="P111" i="55" s="1"/>
  <c r="R110" i="55"/>
  <c r="L110" i="55"/>
  <c r="R109" i="55"/>
  <c r="L109" i="55"/>
  <c r="R108" i="55"/>
  <c r="L108" i="55"/>
  <c r="R107" i="55"/>
  <c r="L107" i="55"/>
  <c r="R106" i="55"/>
  <c r="L106" i="55"/>
  <c r="R105" i="55"/>
  <c r="L105" i="55"/>
  <c r="R104" i="55"/>
  <c r="L104" i="55"/>
  <c r="R103" i="55"/>
  <c r="L103" i="55"/>
  <c r="R102" i="55"/>
  <c r="L102" i="55"/>
  <c r="R101" i="55"/>
  <c r="L101" i="55"/>
  <c r="R100" i="55"/>
  <c r="L100" i="55"/>
  <c r="Q99" i="55"/>
  <c r="R99" i="55" s="1"/>
  <c r="M99" i="55"/>
  <c r="P99" i="55" s="1"/>
  <c r="R98" i="55"/>
  <c r="L98" i="55"/>
  <c r="R97" i="55"/>
  <c r="L97" i="55"/>
  <c r="R96" i="55"/>
  <c r="L96" i="55"/>
  <c r="R95" i="55"/>
  <c r="L95" i="55"/>
  <c r="R94" i="55"/>
  <c r="L94" i="55"/>
  <c r="R93" i="55"/>
  <c r="L93" i="55"/>
  <c r="R92" i="55"/>
  <c r="L92" i="55"/>
  <c r="R91" i="55"/>
  <c r="L91" i="55"/>
  <c r="R90" i="55"/>
  <c r="L90" i="55"/>
  <c r="R89" i="55"/>
  <c r="L89" i="55"/>
  <c r="R88" i="55"/>
  <c r="L88" i="55"/>
  <c r="Q87" i="55"/>
  <c r="R87" i="55" s="1"/>
  <c r="M87" i="55"/>
  <c r="P87" i="55" s="1"/>
  <c r="R86" i="55"/>
  <c r="L86" i="55"/>
  <c r="R85" i="55"/>
  <c r="L85" i="55"/>
  <c r="R84" i="55"/>
  <c r="L84" i="55"/>
  <c r="R83" i="55"/>
  <c r="L83" i="55"/>
  <c r="R82" i="55"/>
  <c r="L82" i="55"/>
  <c r="R81" i="55"/>
  <c r="L81" i="55"/>
  <c r="R80" i="55"/>
  <c r="L80" i="55"/>
  <c r="R79" i="55"/>
  <c r="L79" i="55"/>
  <c r="R78" i="55"/>
  <c r="L78" i="55"/>
  <c r="R77" i="55"/>
  <c r="L77" i="55"/>
  <c r="R76" i="55"/>
  <c r="L76" i="55"/>
  <c r="Q75" i="55"/>
  <c r="R75" i="55" s="1"/>
  <c r="M75" i="55"/>
  <c r="L75" i="55" s="1"/>
  <c r="R74" i="55"/>
  <c r="L74" i="55"/>
  <c r="R73" i="55"/>
  <c r="L73" i="55"/>
  <c r="R72" i="55"/>
  <c r="L72" i="55"/>
  <c r="R71" i="55"/>
  <c r="L71" i="55"/>
  <c r="R70" i="55"/>
  <c r="L70" i="55"/>
  <c r="R69" i="55"/>
  <c r="L69" i="55"/>
  <c r="R68" i="55"/>
  <c r="L68" i="55"/>
  <c r="R67" i="55"/>
  <c r="L67" i="55"/>
  <c r="R66" i="55"/>
  <c r="L66" i="55"/>
  <c r="R65" i="55"/>
  <c r="L65" i="55"/>
  <c r="R64" i="55"/>
  <c r="L64" i="55"/>
  <c r="Q63" i="55"/>
  <c r="R63" i="55" s="1"/>
  <c r="M63" i="55"/>
  <c r="P63" i="55" s="1"/>
  <c r="R62" i="55"/>
  <c r="L62" i="55"/>
  <c r="R61" i="55"/>
  <c r="L61" i="55"/>
  <c r="R60" i="55"/>
  <c r="L60" i="55"/>
  <c r="R59" i="55"/>
  <c r="L59" i="55"/>
  <c r="R58" i="55"/>
  <c r="L58" i="55"/>
  <c r="R57" i="55"/>
  <c r="L57" i="55"/>
  <c r="R56" i="55"/>
  <c r="L56" i="55"/>
  <c r="R55" i="55"/>
  <c r="L55" i="55"/>
  <c r="R54" i="55"/>
  <c r="L54" i="55"/>
  <c r="R53" i="55"/>
  <c r="L53" i="55"/>
  <c r="R52" i="55"/>
  <c r="L52" i="55"/>
  <c r="Q51" i="55"/>
  <c r="R51" i="55" s="1"/>
  <c r="M51" i="55"/>
  <c r="P51" i="55" s="1"/>
  <c r="R50" i="55"/>
  <c r="L50" i="55"/>
  <c r="R49" i="55"/>
  <c r="L49" i="55"/>
  <c r="R48" i="55"/>
  <c r="L48" i="55"/>
  <c r="R47" i="55"/>
  <c r="L47" i="55"/>
  <c r="R46" i="55"/>
  <c r="L46" i="55"/>
  <c r="R45" i="55"/>
  <c r="L45" i="55"/>
  <c r="R44" i="55"/>
  <c r="L44" i="55"/>
  <c r="R43" i="55"/>
  <c r="L43" i="55"/>
  <c r="R42" i="55"/>
  <c r="L42" i="55"/>
  <c r="R41" i="55"/>
  <c r="L41" i="55"/>
  <c r="R40" i="55"/>
  <c r="L40" i="55"/>
  <c r="Q39" i="55"/>
  <c r="R39" i="55" s="1"/>
  <c r="M39" i="55"/>
  <c r="L39" i="55" s="1"/>
  <c r="R38" i="55"/>
  <c r="L38" i="55"/>
  <c r="R37" i="55"/>
  <c r="L37" i="55"/>
  <c r="R36" i="55"/>
  <c r="L36" i="55"/>
  <c r="R35" i="55"/>
  <c r="L35" i="55"/>
  <c r="R34" i="55"/>
  <c r="L34" i="55"/>
  <c r="R33" i="55"/>
  <c r="L33" i="55"/>
  <c r="R32" i="55"/>
  <c r="L32" i="55"/>
  <c r="R31" i="55"/>
  <c r="L31" i="55"/>
  <c r="R30" i="55"/>
  <c r="L30" i="55"/>
  <c r="R29" i="55"/>
  <c r="L29" i="55"/>
  <c r="R28" i="55"/>
  <c r="L28" i="55"/>
  <c r="Q27" i="55"/>
  <c r="R27" i="55" s="1"/>
  <c r="M27" i="55"/>
  <c r="L27" i="55" s="1"/>
  <c r="R26" i="55"/>
  <c r="L26" i="55"/>
  <c r="R25" i="55"/>
  <c r="L25" i="55"/>
  <c r="R24" i="55"/>
  <c r="L24" i="55"/>
  <c r="R23" i="55"/>
  <c r="L23" i="55"/>
  <c r="R22" i="55"/>
  <c r="L22" i="55"/>
  <c r="R21" i="55"/>
  <c r="L21" i="55"/>
  <c r="R20" i="55"/>
  <c r="L20" i="55"/>
  <c r="R19" i="55"/>
  <c r="L19" i="55"/>
  <c r="R18" i="55"/>
  <c r="L18" i="55"/>
  <c r="R17" i="55"/>
  <c r="L17" i="55"/>
  <c r="R16" i="55"/>
  <c r="L16" i="55"/>
  <c r="Q15" i="55"/>
  <c r="R15" i="55" s="1"/>
  <c r="M15" i="55"/>
  <c r="P15" i="55" s="1"/>
  <c r="R14" i="55"/>
  <c r="L14" i="55"/>
  <c r="R13" i="55"/>
  <c r="L13" i="55"/>
  <c r="R12" i="55"/>
  <c r="L12" i="55"/>
  <c r="R11" i="55"/>
  <c r="L11" i="55"/>
  <c r="R10" i="55"/>
  <c r="L10" i="55"/>
  <c r="R9" i="55"/>
  <c r="L9" i="55"/>
  <c r="R8" i="55"/>
  <c r="L8" i="55"/>
  <c r="R7" i="55"/>
  <c r="L7" i="55"/>
  <c r="R6" i="55"/>
  <c r="L6" i="55"/>
  <c r="R5" i="55"/>
  <c r="L5" i="55"/>
  <c r="R4" i="55"/>
  <c r="L4" i="55"/>
  <c r="Q3" i="55"/>
  <c r="R3" i="55" s="1"/>
  <c r="M3" i="55"/>
  <c r="P3" i="55" s="1"/>
  <c r="J3" i="55"/>
  <c r="R2" i="55"/>
  <c r="L2" i="55"/>
  <c r="R24" i="51"/>
  <c r="L24" i="51"/>
  <c r="R23" i="51"/>
  <c r="L23" i="51"/>
  <c r="P471" i="53"/>
  <c r="P459" i="53"/>
  <c r="P411" i="53"/>
  <c r="P399" i="53"/>
  <c r="P375" i="53"/>
  <c r="P363" i="53"/>
  <c r="P327" i="53"/>
  <c r="P315" i="53"/>
  <c r="P291" i="53"/>
  <c r="P255" i="53"/>
  <c r="P243" i="53"/>
  <c r="P231" i="53"/>
  <c r="P219" i="53"/>
  <c r="P87" i="53"/>
  <c r="P75" i="53"/>
  <c r="P63" i="53"/>
  <c r="P39" i="53"/>
  <c r="P27" i="53"/>
  <c r="E183" i="53"/>
  <c r="L471" i="53"/>
  <c r="L459" i="53"/>
  <c r="L411" i="53"/>
  <c r="L399" i="53"/>
  <c r="L387" i="53"/>
  <c r="L375" i="53"/>
  <c r="L363" i="53"/>
  <c r="L351" i="53"/>
  <c r="L327" i="53"/>
  <c r="L315" i="53"/>
  <c r="L291" i="53"/>
  <c r="L255" i="53"/>
  <c r="L243" i="53"/>
  <c r="L231" i="53"/>
  <c r="L219" i="53"/>
  <c r="L87" i="53"/>
  <c r="L75" i="53"/>
  <c r="L63" i="53"/>
  <c r="L39" i="53"/>
  <c r="P483" i="53"/>
  <c r="N483" i="53"/>
  <c r="N423" i="53"/>
  <c r="P387" i="53"/>
  <c r="P351" i="53"/>
  <c r="AF344" i="53"/>
  <c r="N339" i="53"/>
  <c r="G327" i="53"/>
  <c r="F327" i="53"/>
  <c r="E327" i="53"/>
  <c r="P303" i="53"/>
  <c r="N303" i="53"/>
  <c r="P279" i="53"/>
  <c r="N279" i="53"/>
  <c r="P267" i="53"/>
  <c r="P207" i="53"/>
  <c r="N207" i="53"/>
  <c r="P195" i="53"/>
  <c r="N195" i="53"/>
  <c r="P183" i="53"/>
  <c r="N183" i="53"/>
  <c r="G183" i="53"/>
  <c r="F183" i="53"/>
  <c r="P171" i="53"/>
  <c r="N171" i="53"/>
  <c r="G171" i="53"/>
  <c r="F171" i="53"/>
  <c r="E171" i="53"/>
  <c r="P147" i="53"/>
  <c r="P135" i="53"/>
  <c r="P123" i="53"/>
  <c r="P111" i="53"/>
  <c r="P99" i="53"/>
  <c r="P15" i="53"/>
  <c r="J3" i="53"/>
  <c r="Q399" i="48"/>
  <c r="R399" i="48"/>
  <c r="P399" i="48"/>
  <c r="M399" i="48"/>
  <c r="X404" i="48"/>
  <c r="K411" i="48"/>
  <c r="M411" i="48" s="1"/>
  <c r="L411" i="48" s="1"/>
  <c r="K447" i="48"/>
  <c r="R447" i="48" s="1"/>
  <c r="S447" i="48" s="1"/>
  <c r="S446" i="48"/>
  <c r="L446" i="48"/>
  <c r="R411" i="48"/>
  <c r="S411" i="48" s="1"/>
  <c r="S410" i="48"/>
  <c r="L410" i="48"/>
  <c r="G375" i="48"/>
  <c r="F375" i="48"/>
  <c r="E375" i="48"/>
  <c r="N99" i="53" l="1"/>
  <c r="O111" i="56"/>
  <c r="O399" i="56"/>
  <c r="L219" i="56"/>
  <c r="O279" i="56"/>
  <c r="L87" i="55"/>
  <c r="P327" i="55"/>
  <c r="L27" i="56"/>
  <c r="L87" i="56"/>
  <c r="L291" i="56"/>
  <c r="L387" i="56"/>
  <c r="L51" i="55"/>
  <c r="P399" i="55"/>
  <c r="P411" i="55"/>
  <c r="O123" i="56"/>
  <c r="O243" i="56"/>
  <c r="O315" i="56"/>
  <c r="P75" i="55"/>
  <c r="P255" i="55"/>
  <c r="O255" i="56"/>
  <c r="O423" i="56"/>
  <c r="O75" i="56"/>
  <c r="O363" i="56"/>
  <c r="L399" i="56"/>
  <c r="X351" i="53"/>
  <c r="U15" i="53"/>
  <c r="Z15" i="53"/>
  <c r="Z111" i="53"/>
  <c r="U111" i="53"/>
  <c r="O387" i="53"/>
  <c r="X387" i="53"/>
  <c r="U183" i="53"/>
  <c r="Z183" i="53"/>
  <c r="O351" i="53"/>
  <c r="Y351" i="53"/>
  <c r="Z195" i="53"/>
  <c r="U195" i="53"/>
  <c r="Z267" i="53"/>
  <c r="U267" i="53"/>
  <c r="S351" i="53"/>
  <c r="Z147" i="53"/>
  <c r="U147" i="53"/>
  <c r="U303" i="53"/>
  <c r="Z303" i="53"/>
  <c r="Z99" i="53"/>
  <c r="U99" i="53"/>
  <c r="Z135" i="53"/>
  <c r="U135" i="53"/>
  <c r="T387" i="53"/>
  <c r="Z123" i="53"/>
  <c r="U123" i="53"/>
  <c r="Z171" i="53"/>
  <c r="U171" i="53"/>
  <c r="Z207" i="53"/>
  <c r="U207" i="53"/>
  <c r="U279" i="53"/>
  <c r="Z279" i="53"/>
  <c r="Z483" i="53"/>
  <c r="U483" i="53"/>
  <c r="Y387" i="53"/>
  <c r="T351" i="53"/>
  <c r="S387" i="53"/>
  <c r="U39" i="53"/>
  <c r="Z39" i="53"/>
  <c r="Z351" i="53"/>
  <c r="U351" i="53"/>
  <c r="Z75" i="53"/>
  <c r="U75" i="53"/>
  <c r="U243" i="53"/>
  <c r="Z243" i="53"/>
  <c r="Z315" i="53"/>
  <c r="U315" i="53"/>
  <c r="U375" i="53"/>
  <c r="Z375" i="53"/>
  <c r="U471" i="53"/>
  <c r="Z471" i="53"/>
  <c r="Z387" i="53"/>
  <c r="U387" i="53"/>
  <c r="Z219" i="53"/>
  <c r="U219" i="53"/>
  <c r="U291" i="53"/>
  <c r="Z291" i="53"/>
  <c r="Z411" i="53"/>
  <c r="U411" i="53"/>
  <c r="U63" i="53"/>
  <c r="Z63" i="53"/>
  <c r="Z231" i="53"/>
  <c r="U231" i="53"/>
  <c r="U363" i="53"/>
  <c r="Z363" i="53"/>
  <c r="U459" i="53"/>
  <c r="Z459" i="53"/>
  <c r="U27" i="53"/>
  <c r="Z27" i="53"/>
  <c r="U87" i="53"/>
  <c r="Z87" i="53"/>
  <c r="U255" i="53"/>
  <c r="Z255" i="53"/>
  <c r="U327" i="53"/>
  <c r="Z327" i="53"/>
  <c r="Z399" i="53"/>
  <c r="U399" i="53"/>
  <c r="N135" i="53"/>
  <c r="N39" i="53"/>
  <c r="O39" i="53"/>
  <c r="N291" i="53"/>
  <c r="O291" i="53"/>
  <c r="N399" i="53"/>
  <c r="O399" i="53"/>
  <c r="N63" i="53"/>
  <c r="O63" i="53"/>
  <c r="N411" i="53"/>
  <c r="O411" i="53"/>
  <c r="N75" i="53"/>
  <c r="O75" i="53"/>
  <c r="N315" i="53"/>
  <c r="O315" i="53"/>
  <c r="N459" i="53"/>
  <c r="O459" i="53"/>
  <c r="O219" i="53"/>
  <c r="N231" i="53"/>
  <c r="O231" i="53"/>
  <c r="N363" i="53"/>
  <c r="O363" i="53"/>
  <c r="N243" i="53"/>
  <c r="O243" i="53"/>
  <c r="N375" i="53"/>
  <c r="O375" i="53"/>
  <c r="N87" i="53"/>
  <c r="O87" i="53"/>
  <c r="N255" i="53"/>
  <c r="O255" i="53"/>
  <c r="N327" i="53"/>
  <c r="O327" i="53"/>
  <c r="N471" i="53"/>
  <c r="O471" i="53"/>
  <c r="S15" i="53"/>
  <c r="Y171" i="53"/>
  <c r="Q183" i="53"/>
  <c r="S99" i="53"/>
  <c r="S135" i="53"/>
  <c r="S303" i="53"/>
  <c r="X99" i="53"/>
  <c r="X303" i="53"/>
  <c r="Y15" i="53"/>
  <c r="O15" i="53"/>
  <c r="Y267" i="53"/>
  <c r="V183" i="53"/>
  <c r="S111" i="53"/>
  <c r="S147" i="53"/>
  <c r="X147" i="53"/>
  <c r="S123" i="53"/>
  <c r="S171" i="53"/>
  <c r="S267" i="53"/>
  <c r="O111" i="53"/>
  <c r="O147" i="53"/>
  <c r="O15" i="56"/>
  <c r="L39" i="56"/>
  <c r="O63" i="56"/>
  <c r="O231" i="56"/>
  <c r="O411" i="56"/>
  <c r="O483" i="56"/>
  <c r="P39" i="55"/>
  <c r="L231" i="55"/>
  <c r="L99" i="55"/>
  <c r="L363" i="55"/>
  <c r="P267" i="55"/>
  <c r="L279" i="55"/>
  <c r="P423" i="55"/>
  <c r="P435" i="55"/>
  <c r="L447" i="55"/>
  <c r="P507" i="55"/>
  <c r="L519" i="55"/>
  <c r="L3" i="55"/>
  <c r="P27" i="55"/>
  <c r="P123" i="55"/>
  <c r="P315" i="55"/>
  <c r="P351" i="55"/>
  <c r="N351" i="53"/>
  <c r="Q435" i="55"/>
  <c r="R435" i="55" s="1"/>
  <c r="L15" i="55"/>
  <c r="L63" i="55"/>
  <c r="L243" i="55"/>
  <c r="L375" i="55"/>
  <c r="L399" i="55"/>
  <c r="L459" i="55"/>
  <c r="N387" i="53"/>
  <c r="N219" i="53"/>
  <c r="N27" i="53"/>
  <c r="N123" i="53"/>
  <c r="N267" i="53"/>
  <c r="M447" i="48"/>
  <c r="P447" i="48" s="1"/>
  <c r="Q447" i="48"/>
  <c r="Q411" i="48"/>
  <c r="P411" i="48"/>
  <c r="E207" i="48"/>
  <c r="G207" i="48"/>
  <c r="F207" i="48"/>
  <c r="G195" i="48"/>
  <c r="L196" i="48"/>
  <c r="F195" i="48"/>
  <c r="E195" i="48"/>
  <c r="L64" i="48"/>
  <c r="J3" i="36"/>
  <c r="J4" i="36"/>
  <c r="J5" i="36"/>
  <c r="J12" i="36"/>
  <c r="J13" i="36"/>
  <c r="J14" i="36"/>
  <c r="J15" i="36"/>
  <c r="J16" i="36"/>
  <c r="J17" i="36"/>
  <c r="J18" i="36"/>
  <c r="J19" i="36"/>
  <c r="J20" i="36"/>
  <c r="J21" i="36"/>
  <c r="J22" i="36"/>
  <c r="J23" i="36"/>
  <c r="J24" i="36"/>
  <c r="J25" i="36"/>
  <c r="J26" i="36"/>
  <c r="J27" i="36"/>
  <c r="J28" i="36"/>
  <c r="J29" i="36"/>
  <c r="J30" i="36"/>
  <c r="J32" i="36"/>
  <c r="J33" i="36"/>
  <c r="J34" i="36"/>
  <c r="J35" i="36"/>
  <c r="J36" i="36"/>
  <c r="J37" i="36"/>
  <c r="J38" i="36"/>
  <c r="J39" i="36"/>
  <c r="J40" i="36"/>
  <c r="J41" i="36"/>
  <c r="J42" i="36"/>
  <c r="J44" i="36"/>
  <c r="J45" i="36"/>
  <c r="J46" i="36"/>
  <c r="J47" i="36"/>
  <c r="J48" i="36"/>
  <c r="J49" i="36"/>
  <c r="J50" i="36"/>
  <c r="J51" i="36"/>
  <c r="G44" i="36"/>
  <c r="Y183" i="53" l="1"/>
  <c r="X183" i="53"/>
  <c r="S183" i="53"/>
  <c r="T183" i="53"/>
  <c r="L447" i="48"/>
  <c r="J54" i="31"/>
  <c r="G54" i="31"/>
  <c r="L539" i="48" l="1"/>
  <c r="S539" i="48"/>
  <c r="L540" i="48"/>
  <c r="S540" i="48"/>
  <c r="L541" i="48"/>
  <c r="S541" i="48"/>
  <c r="L535" i="48"/>
  <c r="S535" i="48"/>
  <c r="L536" i="48"/>
  <c r="S536" i="48"/>
  <c r="L400" i="48"/>
  <c r="S400" i="48"/>
  <c r="L401" i="48"/>
  <c r="S401" i="48"/>
  <c r="L402" i="48"/>
  <c r="S402" i="48"/>
  <c r="L403" i="48"/>
  <c r="S403" i="48"/>
  <c r="L404" i="48"/>
  <c r="S404" i="48"/>
  <c r="L405" i="48"/>
  <c r="S405" i="48"/>
  <c r="L406" i="48"/>
  <c r="S406" i="48"/>
  <c r="L407" i="48"/>
  <c r="S407" i="48"/>
  <c r="L408" i="48"/>
  <c r="S408" i="48"/>
  <c r="L409" i="48"/>
  <c r="S409" i="48"/>
  <c r="L508" i="48"/>
  <c r="S508" i="48"/>
  <c r="L509" i="48"/>
  <c r="S509" i="48"/>
  <c r="L510" i="48"/>
  <c r="S510" i="48"/>
  <c r="L511" i="48"/>
  <c r="S511" i="48"/>
  <c r="L512" i="48"/>
  <c r="S512" i="48"/>
  <c r="L513" i="48"/>
  <c r="S513" i="48"/>
  <c r="L514" i="48"/>
  <c r="S514" i="48"/>
  <c r="L515" i="48"/>
  <c r="S515" i="48"/>
  <c r="L516" i="48"/>
  <c r="S516" i="48"/>
  <c r="L517" i="48"/>
  <c r="S517" i="48"/>
  <c r="L496" i="48"/>
  <c r="S496" i="48"/>
  <c r="L497" i="48"/>
  <c r="S497" i="48"/>
  <c r="L498" i="48"/>
  <c r="S498" i="48"/>
  <c r="L499" i="48"/>
  <c r="S499" i="48"/>
  <c r="L500" i="48"/>
  <c r="S500" i="48"/>
  <c r="L501" i="48"/>
  <c r="S501" i="48"/>
  <c r="L502" i="48"/>
  <c r="S502" i="48"/>
  <c r="L503" i="48"/>
  <c r="S503" i="48"/>
  <c r="L504" i="48"/>
  <c r="S504" i="48"/>
  <c r="L505" i="48"/>
  <c r="S505" i="48"/>
  <c r="L484" i="48"/>
  <c r="S484" i="48"/>
  <c r="L485" i="48"/>
  <c r="S485" i="48"/>
  <c r="L486" i="48"/>
  <c r="S486" i="48"/>
  <c r="L487" i="48"/>
  <c r="S487" i="48"/>
  <c r="L488" i="48"/>
  <c r="S488" i="48"/>
  <c r="L489" i="48"/>
  <c r="S489" i="48"/>
  <c r="L490" i="48"/>
  <c r="S490" i="48"/>
  <c r="L491" i="48"/>
  <c r="S491" i="48"/>
  <c r="L492" i="48"/>
  <c r="S492" i="48"/>
  <c r="L493" i="48"/>
  <c r="S493" i="48"/>
  <c r="L287" i="48"/>
  <c r="S287" i="48"/>
  <c r="L288" i="48"/>
  <c r="S288" i="48"/>
  <c r="L289" i="48"/>
  <c r="S289" i="48"/>
  <c r="L283" i="48"/>
  <c r="S283" i="48"/>
  <c r="L284" i="48"/>
  <c r="S284" i="48"/>
  <c r="L275" i="48"/>
  <c r="S275" i="48"/>
  <c r="L276" i="48"/>
  <c r="S276" i="48"/>
  <c r="L277" i="48"/>
  <c r="S277" i="48"/>
  <c r="L271" i="48"/>
  <c r="S271" i="48"/>
  <c r="L272" i="48"/>
  <c r="S272" i="48"/>
  <c r="L263" i="48"/>
  <c r="S263" i="48"/>
  <c r="L264" i="48"/>
  <c r="S264" i="48"/>
  <c r="L265" i="48"/>
  <c r="S265" i="48"/>
  <c r="L259" i="48"/>
  <c r="S259" i="48"/>
  <c r="L260" i="48"/>
  <c r="S260" i="48"/>
  <c r="L251" i="48"/>
  <c r="S251" i="48"/>
  <c r="L252" i="48"/>
  <c r="S252" i="48"/>
  <c r="L253" i="48"/>
  <c r="S253" i="48"/>
  <c r="L247" i="48"/>
  <c r="S247" i="48"/>
  <c r="L248" i="48"/>
  <c r="S248" i="48"/>
  <c r="L239" i="48"/>
  <c r="S239" i="48"/>
  <c r="L240" i="48"/>
  <c r="S240" i="48"/>
  <c r="L241" i="48"/>
  <c r="S241" i="48"/>
  <c r="L235" i="48"/>
  <c r="S235" i="48"/>
  <c r="L236" i="48"/>
  <c r="S236" i="48"/>
  <c r="L227" i="48"/>
  <c r="S227" i="48"/>
  <c r="L228" i="48"/>
  <c r="S228" i="48"/>
  <c r="L229" i="48"/>
  <c r="S229" i="48"/>
  <c r="L223" i="48"/>
  <c r="S223" i="48"/>
  <c r="L224" i="48"/>
  <c r="S224" i="48"/>
  <c r="L143" i="48"/>
  <c r="S143" i="48"/>
  <c r="L144" i="48"/>
  <c r="S144" i="48"/>
  <c r="L145" i="48"/>
  <c r="S145" i="48"/>
  <c r="L139" i="48"/>
  <c r="S139" i="48"/>
  <c r="L140" i="48"/>
  <c r="S140" i="48"/>
  <c r="L95" i="48"/>
  <c r="S95" i="48"/>
  <c r="L96" i="48"/>
  <c r="S96" i="48"/>
  <c r="L97" i="48"/>
  <c r="S97" i="48"/>
  <c r="L91" i="48"/>
  <c r="S91" i="48"/>
  <c r="L92" i="48"/>
  <c r="S92" i="48"/>
  <c r="L83" i="48"/>
  <c r="S83" i="48"/>
  <c r="L84" i="48"/>
  <c r="S84" i="48"/>
  <c r="L85" i="48"/>
  <c r="S85" i="48"/>
  <c r="L79" i="48"/>
  <c r="S79" i="48"/>
  <c r="L80" i="48"/>
  <c r="S80" i="48"/>
  <c r="L59" i="48"/>
  <c r="S59" i="48"/>
  <c r="L60" i="48"/>
  <c r="S60" i="48"/>
  <c r="L61" i="48"/>
  <c r="S61" i="48"/>
  <c r="L55" i="48"/>
  <c r="S55" i="48"/>
  <c r="L56" i="48"/>
  <c r="S56" i="48"/>
  <c r="L35" i="48"/>
  <c r="S35" i="48"/>
  <c r="L36" i="48"/>
  <c r="S36" i="48"/>
  <c r="L37" i="48"/>
  <c r="S37" i="48"/>
  <c r="L29" i="48"/>
  <c r="S29" i="48"/>
  <c r="L30" i="48"/>
  <c r="S30" i="48"/>
  <c r="L31" i="48"/>
  <c r="S31" i="48"/>
  <c r="L32" i="48"/>
  <c r="S32" i="48"/>
  <c r="J4" i="49"/>
  <c r="G5" i="49" l="1"/>
  <c r="J5" i="49" s="1"/>
  <c r="G2" i="49"/>
  <c r="J2" i="49" s="1"/>
  <c r="J3" i="49"/>
  <c r="G6" i="49"/>
  <c r="J6" i="49" s="1"/>
  <c r="G7" i="49"/>
  <c r="F7" i="49" s="1"/>
  <c r="G8" i="49"/>
  <c r="J8" i="49" s="1"/>
  <c r="G9" i="49"/>
  <c r="J9" i="49" s="1"/>
  <c r="G10" i="49"/>
  <c r="J10" i="49" s="1"/>
  <c r="G11" i="49"/>
  <c r="J11" i="49" s="1"/>
  <c r="G12" i="49"/>
  <c r="J12" i="49" s="1"/>
  <c r="G13" i="49"/>
  <c r="J13" i="49" s="1"/>
  <c r="G14" i="49"/>
  <c r="J14" i="49" s="1"/>
  <c r="G15" i="49"/>
  <c r="J15" i="49" s="1"/>
  <c r="G16" i="49"/>
  <c r="J16" i="49" s="1"/>
  <c r="G17" i="49"/>
  <c r="J17" i="49" s="1"/>
  <c r="G18" i="49"/>
  <c r="J18" i="49" s="1"/>
  <c r="G19" i="49"/>
  <c r="J19" i="49" s="1"/>
  <c r="G20" i="49"/>
  <c r="J20" i="49" s="1"/>
  <c r="G21" i="49"/>
  <c r="J21" i="49" s="1"/>
  <c r="G22" i="49"/>
  <c r="J22" i="49" s="1"/>
  <c r="G23" i="49"/>
  <c r="J23" i="49" s="1"/>
  <c r="G24" i="49"/>
  <c r="J24" i="49" s="1"/>
  <c r="G25" i="49"/>
  <c r="J25" i="49" s="1"/>
  <c r="G26" i="49"/>
  <c r="J26" i="49" s="1"/>
  <c r="G27" i="49"/>
  <c r="J27" i="49" s="1"/>
  <c r="G28" i="49"/>
  <c r="J28" i="49" s="1"/>
  <c r="G29" i="49"/>
  <c r="J29" i="49" s="1"/>
  <c r="F5" i="49" l="1"/>
  <c r="J7" i="49"/>
  <c r="P483" i="48"/>
  <c r="L351" i="48" l="1"/>
  <c r="S135" i="48"/>
  <c r="L2" i="48"/>
  <c r="L4" i="48"/>
  <c r="L5" i="48"/>
  <c r="L6" i="48"/>
  <c r="L7" i="48"/>
  <c r="L8" i="48"/>
  <c r="L9" i="48"/>
  <c r="L10" i="48"/>
  <c r="L11" i="48"/>
  <c r="L12" i="48"/>
  <c r="L13" i="48"/>
  <c r="L14" i="48"/>
  <c r="L16" i="48"/>
  <c r="L17" i="48"/>
  <c r="L18" i="48"/>
  <c r="L19" i="48"/>
  <c r="L20" i="48"/>
  <c r="L21" i="48"/>
  <c r="L22" i="48"/>
  <c r="L23" i="48"/>
  <c r="L24" i="48"/>
  <c r="L25" i="48"/>
  <c r="L26" i="48"/>
  <c r="L28" i="48"/>
  <c r="L33" i="48"/>
  <c r="L34" i="48"/>
  <c r="L38" i="48"/>
  <c r="L40" i="48"/>
  <c r="L41" i="48"/>
  <c r="L42" i="48"/>
  <c r="L43" i="48"/>
  <c r="L44" i="48"/>
  <c r="L45" i="48"/>
  <c r="L46" i="48"/>
  <c r="L47" i="48"/>
  <c r="L48" i="48"/>
  <c r="L49" i="48"/>
  <c r="L50" i="48"/>
  <c r="L52" i="48"/>
  <c r="L53" i="48"/>
  <c r="L54" i="48"/>
  <c r="L57" i="48"/>
  <c r="L58" i="48"/>
  <c r="L62" i="48"/>
  <c r="L65" i="48"/>
  <c r="L66" i="48"/>
  <c r="L67" i="48"/>
  <c r="L68" i="48"/>
  <c r="L69" i="48"/>
  <c r="L70" i="48"/>
  <c r="L71" i="48"/>
  <c r="L72" i="48"/>
  <c r="L73" i="48"/>
  <c r="L74" i="48"/>
  <c r="L76" i="48"/>
  <c r="L77" i="48"/>
  <c r="L78" i="48"/>
  <c r="L81" i="48"/>
  <c r="L82" i="48"/>
  <c r="L86" i="48"/>
  <c r="L88" i="48"/>
  <c r="L89" i="48"/>
  <c r="L90" i="48"/>
  <c r="L93" i="48"/>
  <c r="L94" i="48"/>
  <c r="L98" i="48"/>
  <c r="L100" i="48"/>
  <c r="L101" i="48"/>
  <c r="L102" i="48"/>
  <c r="L103" i="48"/>
  <c r="L104" i="48"/>
  <c r="L105" i="48"/>
  <c r="L106" i="48"/>
  <c r="L107" i="48"/>
  <c r="L108" i="48"/>
  <c r="L109" i="48"/>
  <c r="L110" i="48"/>
  <c r="L112" i="48"/>
  <c r="L113" i="48"/>
  <c r="L114" i="48"/>
  <c r="L115" i="48"/>
  <c r="L116" i="48"/>
  <c r="L117" i="48"/>
  <c r="L118" i="48"/>
  <c r="L119" i="48"/>
  <c r="L120" i="48"/>
  <c r="L121" i="48"/>
  <c r="L122" i="48"/>
  <c r="L124" i="48"/>
  <c r="L125" i="48"/>
  <c r="L126" i="48"/>
  <c r="L127" i="48"/>
  <c r="L128" i="48"/>
  <c r="L129" i="48"/>
  <c r="L130" i="48"/>
  <c r="L131" i="48"/>
  <c r="L132" i="48"/>
  <c r="L133" i="48"/>
  <c r="L134" i="48"/>
  <c r="L136" i="48"/>
  <c r="L137" i="48"/>
  <c r="L138" i="48"/>
  <c r="L141" i="48"/>
  <c r="L142" i="48"/>
  <c r="L146" i="48"/>
  <c r="L148" i="48"/>
  <c r="L149" i="48"/>
  <c r="L150" i="48"/>
  <c r="L151" i="48"/>
  <c r="L152" i="48"/>
  <c r="L153" i="48"/>
  <c r="L154" i="48"/>
  <c r="L155" i="48"/>
  <c r="L156" i="48"/>
  <c r="L157" i="48"/>
  <c r="L158" i="48"/>
  <c r="L159" i="48"/>
  <c r="L160" i="48"/>
  <c r="L161" i="48"/>
  <c r="L162" i="48"/>
  <c r="L163" i="48"/>
  <c r="L164" i="48"/>
  <c r="L165" i="48"/>
  <c r="L166" i="48"/>
  <c r="L167" i="48"/>
  <c r="L168" i="48"/>
  <c r="L169" i="48"/>
  <c r="L170" i="48"/>
  <c r="L172" i="48"/>
  <c r="L173" i="48"/>
  <c r="L174" i="48"/>
  <c r="L175" i="48"/>
  <c r="L176" i="48"/>
  <c r="L177" i="48"/>
  <c r="L178" i="48"/>
  <c r="L179" i="48"/>
  <c r="L180" i="48"/>
  <c r="L181" i="48"/>
  <c r="L182" i="48"/>
  <c r="L184" i="48"/>
  <c r="L185" i="48"/>
  <c r="L186" i="48"/>
  <c r="L187" i="48"/>
  <c r="L188" i="48"/>
  <c r="L189" i="48"/>
  <c r="L190" i="48"/>
  <c r="L191" i="48"/>
  <c r="L192" i="48"/>
  <c r="L193" i="48"/>
  <c r="L194" i="48"/>
  <c r="L197" i="48"/>
  <c r="L198" i="48"/>
  <c r="L199" i="48"/>
  <c r="L200" i="48"/>
  <c r="L201" i="48"/>
  <c r="L202" i="48"/>
  <c r="L203" i="48"/>
  <c r="L204" i="48"/>
  <c r="L205" i="48"/>
  <c r="L206" i="48"/>
  <c r="L208" i="48"/>
  <c r="L209" i="48"/>
  <c r="L210" i="48"/>
  <c r="L211" i="48"/>
  <c r="L212" i="48"/>
  <c r="L213" i="48"/>
  <c r="L214" i="48"/>
  <c r="L215" i="48"/>
  <c r="L216" i="48"/>
  <c r="L217" i="48"/>
  <c r="L218" i="48"/>
  <c r="L220" i="48"/>
  <c r="L221" i="48"/>
  <c r="L222" i="48"/>
  <c r="L225" i="48"/>
  <c r="L226" i="48"/>
  <c r="L230" i="48"/>
  <c r="L232" i="48"/>
  <c r="L233" i="48"/>
  <c r="L234" i="48"/>
  <c r="L237" i="48"/>
  <c r="L238" i="48"/>
  <c r="L242" i="48"/>
  <c r="L244" i="48"/>
  <c r="L245" i="48"/>
  <c r="L246" i="48"/>
  <c r="L249" i="48"/>
  <c r="L250" i="48"/>
  <c r="L254" i="48"/>
  <c r="L256" i="48"/>
  <c r="L257" i="48"/>
  <c r="L258" i="48"/>
  <c r="L261" i="48"/>
  <c r="L262" i="48"/>
  <c r="L266" i="48"/>
  <c r="L268" i="48"/>
  <c r="L269" i="48"/>
  <c r="L270" i="48"/>
  <c r="L273" i="48"/>
  <c r="L274" i="48"/>
  <c r="L278" i="48"/>
  <c r="L280" i="48"/>
  <c r="L281" i="48"/>
  <c r="L282" i="48"/>
  <c r="L285" i="48"/>
  <c r="L286" i="48"/>
  <c r="L290" i="48"/>
  <c r="L292" i="48"/>
  <c r="L293" i="48"/>
  <c r="L294" i="48"/>
  <c r="L295" i="48"/>
  <c r="L296" i="48"/>
  <c r="L297" i="48"/>
  <c r="L298" i="48"/>
  <c r="L299" i="48"/>
  <c r="L300" i="48"/>
  <c r="L301" i="48"/>
  <c r="L302" i="48"/>
  <c r="L304" i="48"/>
  <c r="L305" i="48"/>
  <c r="L306" i="48"/>
  <c r="L307" i="48"/>
  <c r="L308" i="48"/>
  <c r="L309" i="48"/>
  <c r="L310" i="48"/>
  <c r="L311" i="48"/>
  <c r="L312" i="48"/>
  <c r="L313" i="48"/>
  <c r="L314" i="48"/>
  <c r="L316" i="48"/>
  <c r="L317" i="48"/>
  <c r="L318" i="48"/>
  <c r="L319" i="48"/>
  <c r="L320" i="48"/>
  <c r="L321" i="48"/>
  <c r="L322" i="48"/>
  <c r="L323" i="48"/>
  <c r="L324" i="48"/>
  <c r="L325" i="48"/>
  <c r="L326" i="48"/>
  <c r="L328" i="48"/>
  <c r="L329" i="48"/>
  <c r="L330" i="48"/>
  <c r="L331" i="48"/>
  <c r="L332" i="48"/>
  <c r="L333" i="48"/>
  <c r="L334" i="48"/>
  <c r="L335" i="48"/>
  <c r="L336" i="48"/>
  <c r="L337" i="48"/>
  <c r="L338" i="48"/>
  <c r="L340" i="48"/>
  <c r="L341" i="48"/>
  <c r="L342" i="48"/>
  <c r="L343" i="48"/>
  <c r="L344" i="48"/>
  <c r="L345" i="48"/>
  <c r="L346" i="48"/>
  <c r="L347" i="48"/>
  <c r="L348" i="48"/>
  <c r="L349" i="48"/>
  <c r="L350" i="48"/>
  <c r="L352" i="48"/>
  <c r="L353" i="48"/>
  <c r="L354" i="48"/>
  <c r="L355" i="48"/>
  <c r="L356" i="48"/>
  <c r="L357" i="48"/>
  <c r="L358" i="48"/>
  <c r="L359" i="48"/>
  <c r="L360" i="48"/>
  <c r="L361" i="48"/>
  <c r="L362" i="48"/>
  <c r="L364" i="48"/>
  <c r="L365" i="48"/>
  <c r="L366" i="48"/>
  <c r="L367" i="48"/>
  <c r="L368" i="48"/>
  <c r="L369" i="48"/>
  <c r="L370" i="48"/>
  <c r="L371" i="48"/>
  <c r="L372" i="48"/>
  <c r="L373" i="48"/>
  <c r="L374" i="48"/>
  <c r="L376" i="48"/>
  <c r="L377" i="48"/>
  <c r="L378" i="48"/>
  <c r="L379" i="48"/>
  <c r="L380" i="48"/>
  <c r="L381" i="48"/>
  <c r="L382" i="48"/>
  <c r="L383" i="48"/>
  <c r="L384" i="48"/>
  <c r="L385" i="48"/>
  <c r="L386" i="48"/>
  <c r="L388" i="48"/>
  <c r="L389" i="48"/>
  <c r="L390" i="48"/>
  <c r="L391" i="48"/>
  <c r="L392" i="48"/>
  <c r="L393" i="48"/>
  <c r="L394" i="48"/>
  <c r="L395" i="48"/>
  <c r="L396" i="48"/>
  <c r="L397" i="48"/>
  <c r="L398" i="48"/>
  <c r="L422" i="48"/>
  <c r="L424" i="48"/>
  <c r="L425" i="48"/>
  <c r="L426" i="48"/>
  <c r="L427" i="48"/>
  <c r="L428" i="48"/>
  <c r="L429" i="48"/>
  <c r="L430" i="48"/>
  <c r="L431" i="48"/>
  <c r="L432" i="48"/>
  <c r="L433" i="48"/>
  <c r="L434" i="48"/>
  <c r="L436" i="48"/>
  <c r="L437" i="48"/>
  <c r="L438" i="48"/>
  <c r="L439" i="48"/>
  <c r="L440" i="48"/>
  <c r="L441" i="48"/>
  <c r="L442" i="48"/>
  <c r="L443" i="48"/>
  <c r="L444" i="48"/>
  <c r="L445" i="48"/>
  <c r="L458" i="48"/>
  <c r="L460" i="48"/>
  <c r="L461" i="48"/>
  <c r="L462" i="48"/>
  <c r="L463" i="48"/>
  <c r="L464" i="48"/>
  <c r="L465" i="48"/>
  <c r="L466" i="48"/>
  <c r="L467" i="48"/>
  <c r="L468" i="48"/>
  <c r="L469" i="48"/>
  <c r="L470" i="48"/>
  <c r="L472" i="48"/>
  <c r="L473" i="48"/>
  <c r="L474" i="48"/>
  <c r="L475" i="48"/>
  <c r="L476" i="48"/>
  <c r="L477" i="48"/>
  <c r="L478" i="48"/>
  <c r="L479" i="48"/>
  <c r="L480" i="48"/>
  <c r="L481" i="48"/>
  <c r="L482" i="48"/>
  <c r="L494" i="48"/>
  <c r="L506" i="48"/>
  <c r="L518" i="48"/>
  <c r="L520" i="48"/>
  <c r="L521" i="48"/>
  <c r="L522" i="48"/>
  <c r="L523" i="48"/>
  <c r="L524" i="48"/>
  <c r="L525" i="48"/>
  <c r="L526" i="48"/>
  <c r="L527" i="48"/>
  <c r="L528" i="48"/>
  <c r="L529" i="48"/>
  <c r="L530" i="48"/>
  <c r="L532" i="48"/>
  <c r="L533" i="48"/>
  <c r="L534" i="48"/>
  <c r="L537" i="48"/>
  <c r="L538" i="48"/>
  <c r="L542" i="48"/>
  <c r="L544" i="48"/>
  <c r="L545" i="48"/>
  <c r="L546" i="48"/>
  <c r="L547" i="48"/>
  <c r="L548" i="48"/>
  <c r="L549" i="48"/>
  <c r="L550" i="48"/>
  <c r="L551" i="48"/>
  <c r="S2" i="48"/>
  <c r="S4" i="48"/>
  <c r="S5" i="48"/>
  <c r="S6" i="48"/>
  <c r="S7" i="48"/>
  <c r="S8" i="48"/>
  <c r="S9" i="48"/>
  <c r="S10" i="48"/>
  <c r="S11" i="48"/>
  <c r="S12" i="48"/>
  <c r="S13" i="48"/>
  <c r="S14" i="48"/>
  <c r="S16" i="48"/>
  <c r="S17" i="48"/>
  <c r="S18" i="48"/>
  <c r="S19" i="48"/>
  <c r="S20" i="48"/>
  <c r="S21" i="48"/>
  <c r="S22" i="48"/>
  <c r="S23" i="48"/>
  <c r="S24" i="48"/>
  <c r="S25" i="48"/>
  <c r="S26" i="48"/>
  <c r="S28" i="48"/>
  <c r="S33" i="48"/>
  <c r="S34" i="48"/>
  <c r="S38" i="48"/>
  <c r="S40" i="48"/>
  <c r="S41" i="48"/>
  <c r="S42" i="48"/>
  <c r="S43" i="48"/>
  <c r="S44" i="48"/>
  <c r="S45" i="48"/>
  <c r="S46" i="48"/>
  <c r="S47" i="48"/>
  <c r="S48" i="48"/>
  <c r="S49" i="48"/>
  <c r="S50" i="48"/>
  <c r="S52" i="48"/>
  <c r="S53" i="48"/>
  <c r="S54" i="48"/>
  <c r="S57" i="48"/>
  <c r="S58" i="48"/>
  <c r="S62" i="48"/>
  <c r="S64" i="48"/>
  <c r="S65" i="48"/>
  <c r="S66" i="48"/>
  <c r="S67" i="48"/>
  <c r="S68" i="48"/>
  <c r="S69" i="48"/>
  <c r="S70" i="48"/>
  <c r="S71" i="48"/>
  <c r="S72" i="48"/>
  <c r="S73" i="48"/>
  <c r="S74" i="48"/>
  <c r="S76" i="48"/>
  <c r="S77" i="48"/>
  <c r="S78" i="48"/>
  <c r="S81" i="48"/>
  <c r="S82" i="48"/>
  <c r="S86" i="48"/>
  <c r="S88" i="48"/>
  <c r="S89" i="48"/>
  <c r="S90" i="48"/>
  <c r="S93" i="48"/>
  <c r="S94" i="48"/>
  <c r="S98" i="48"/>
  <c r="S100" i="48"/>
  <c r="S101" i="48"/>
  <c r="S102" i="48"/>
  <c r="S103" i="48"/>
  <c r="S104" i="48"/>
  <c r="S105" i="48"/>
  <c r="S106" i="48"/>
  <c r="S107" i="48"/>
  <c r="S108" i="48"/>
  <c r="S109" i="48"/>
  <c r="S110" i="48"/>
  <c r="S112" i="48"/>
  <c r="S113" i="48"/>
  <c r="S114" i="48"/>
  <c r="S115" i="48"/>
  <c r="S116" i="48"/>
  <c r="S117" i="48"/>
  <c r="S118" i="48"/>
  <c r="S119" i="48"/>
  <c r="S120" i="48"/>
  <c r="S121" i="48"/>
  <c r="S122" i="48"/>
  <c r="S124" i="48"/>
  <c r="S125" i="48"/>
  <c r="S126" i="48"/>
  <c r="S127" i="48"/>
  <c r="S128" i="48"/>
  <c r="S129" i="48"/>
  <c r="S130" i="48"/>
  <c r="S131" i="48"/>
  <c r="S132" i="48"/>
  <c r="S133" i="48"/>
  <c r="S134" i="48"/>
  <c r="S136" i="48"/>
  <c r="S137" i="48"/>
  <c r="S138" i="48"/>
  <c r="S141" i="48"/>
  <c r="S142" i="48"/>
  <c r="S146" i="48"/>
  <c r="S148" i="48"/>
  <c r="S149" i="48"/>
  <c r="S150" i="48"/>
  <c r="S151" i="48"/>
  <c r="S152" i="48"/>
  <c r="S153" i="48"/>
  <c r="S154" i="48"/>
  <c r="S155" i="48"/>
  <c r="S156" i="48"/>
  <c r="S157" i="48"/>
  <c r="S158" i="48"/>
  <c r="S160" i="48"/>
  <c r="S161" i="48"/>
  <c r="S162" i="48"/>
  <c r="S163" i="48"/>
  <c r="S164" i="48"/>
  <c r="S165" i="48"/>
  <c r="S166" i="48"/>
  <c r="S167" i="48"/>
  <c r="S168" i="48"/>
  <c r="S169" i="48"/>
  <c r="S170" i="48"/>
  <c r="S172" i="48"/>
  <c r="S173" i="48"/>
  <c r="S174" i="48"/>
  <c r="S175" i="48"/>
  <c r="S176" i="48"/>
  <c r="S177" i="48"/>
  <c r="S178" i="48"/>
  <c r="S179" i="48"/>
  <c r="S180" i="48"/>
  <c r="S181" i="48"/>
  <c r="S182" i="48"/>
  <c r="S184" i="48"/>
  <c r="S185" i="48"/>
  <c r="S186" i="48"/>
  <c r="S187" i="48"/>
  <c r="S188" i="48"/>
  <c r="S189" i="48"/>
  <c r="S190" i="48"/>
  <c r="S191" i="48"/>
  <c r="S192" i="48"/>
  <c r="S193" i="48"/>
  <c r="S194" i="48"/>
  <c r="S196" i="48"/>
  <c r="S197" i="48"/>
  <c r="S198" i="48"/>
  <c r="S199" i="48"/>
  <c r="S200" i="48"/>
  <c r="S201" i="48"/>
  <c r="S202" i="48"/>
  <c r="S203" i="48"/>
  <c r="S204" i="48"/>
  <c r="S205" i="48"/>
  <c r="S206" i="48"/>
  <c r="S208" i="48"/>
  <c r="S209" i="48"/>
  <c r="S210" i="48"/>
  <c r="S211" i="48"/>
  <c r="S212" i="48"/>
  <c r="S213" i="48"/>
  <c r="S214" i="48"/>
  <c r="S215" i="48"/>
  <c r="S216" i="48"/>
  <c r="S217" i="48"/>
  <c r="S218" i="48"/>
  <c r="S220" i="48"/>
  <c r="S221" i="48"/>
  <c r="S222" i="48"/>
  <c r="S225" i="48"/>
  <c r="S226" i="48"/>
  <c r="S230" i="48"/>
  <c r="S232" i="48"/>
  <c r="S233" i="48"/>
  <c r="S234" i="48"/>
  <c r="S237" i="48"/>
  <c r="S238" i="48"/>
  <c r="S242" i="48"/>
  <c r="S244" i="48"/>
  <c r="S245" i="48"/>
  <c r="S246" i="48"/>
  <c r="S249" i="48"/>
  <c r="S250" i="48"/>
  <c r="S254" i="48"/>
  <c r="S256" i="48"/>
  <c r="S257" i="48"/>
  <c r="S258" i="48"/>
  <c r="S261" i="48"/>
  <c r="S262" i="48"/>
  <c r="S266" i="48"/>
  <c r="S268" i="48"/>
  <c r="S269" i="48"/>
  <c r="S270" i="48"/>
  <c r="S273" i="48"/>
  <c r="S274" i="48"/>
  <c r="S278" i="48"/>
  <c r="S280" i="48"/>
  <c r="S281" i="48"/>
  <c r="S282" i="48"/>
  <c r="S285" i="48"/>
  <c r="S286" i="48"/>
  <c r="S290" i="48"/>
  <c r="S292" i="48"/>
  <c r="S293" i="48"/>
  <c r="S294" i="48"/>
  <c r="S295" i="48"/>
  <c r="S296" i="48"/>
  <c r="S297" i="48"/>
  <c r="S298" i="48"/>
  <c r="S299" i="48"/>
  <c r="S300" i="48"/>
  <c r="S301" i="48"/>
  <c r="S302" i="48"/>
  <c r="S304" i="48"/>
  <c r="S305" i="48"/>
  <c r="S306" i="48"/>
  <c r="S307" i="48"/>
  <c r="S308" i="48"/>
  <c r="S309" i="48"/>
  <c r="S310" i="48"/>
  <c r="S311" i="48"/>
  <c r="S312" i="48"/>
  <c r="S313" i="48"/>
  <c r="S314" i="48"/>
  <c r="S316" i="48"/>
  <c r="S317" i="48"/>
  <c r="S318" i="48"/>
  <c r="S319" i="48"/>
  <c r="S320" i="48"/>
  <c r="S321" i="48"/>
  <c r="S322" i="48"/>
  <c r="S323" i="48"/>
  <c r="S324" i="48"/>
  <c r="S325" i="48"/>
  <c r="S326" i="48"/>
  <c r="S328" i="48"/>
  <c r="S329" i="48"/>
  <c r="S330" i="48"/>
  <c r="S331" i="48"/>
  <c r="S332" i="48"/>
  <c r="S333" i="48"/>
  <c r="S334" i="48"/>
  <c r="S335" i="48"/>
  <c r="S336" i="48"/>
  <c r="S337" i="48"/>
  <c r="S338" i="48"/>
  <c r="S340" i="48"/>
  <c r="S341" i="48"/>
  <c r="S342" i="48"/>
  <c r="S343" i="48"/>
  <c r="S344" i="48"/>
  <c r="S345" i="48"/>
  <c r="S346" i="48"/>
  <c r="S347" i="48"/>
  <c r="S348" i="48"/>
  <c r="S349" i="48"/>
  <c r="S350" i="48"/>
  <c r="S352" i="48"/>
  <c r="S353" i="48"/>
  <c r="S354" i="48"/>
  <c r="S355" i="48"/>
  <c r="S356" i="48"/>
  <c r="S357" i="48"/>
  <c r="S358" i="48"/>
  <c r="S359" i="48"/>
  <c r="S360" i="48"/>
  <c r="S361" i="48"/>
  <c r="S362" i="48"/>
  <c r="S364" i="48"/>
  <c r="S365" i="48"/>
  <c r="S366" i="48"/>
  <c r="S367" i="48"/>
  <c r="S368" i="48"/>
  <c r="S369" i="48"/>
  <c r="S370" i="48"/>
  <c r="S371" i="48"/>
  <c r="S372" i="48"/>
  <c r="S373" i="48"/>
  <c r="S374" i="48"/>
  <c r="S376" i="48"/>
  <c r="S377" i="48"/>
  <c r="S378" i="48"/>
  <c r="S379" i="48"/>
  <c r="S380" i="48"/>
  <c r="S381" i="48"/>
  <c r="S382" i="48"/>
  <c r="S383" i="48"/>
  <c r="S384" i="48"/>
  <c r="S385" i="48"/>
  <c r="S386" i="48"/>
  <c r="S388" i="48"/>
  <c r="S389" i="48"/>
  <c r="S390" i="48"/>
  <c r="S391" i="48"/>
  <c r="S392" i="48"/>
  <c r="S393" i="48"/>
  <c r="S394" i="48"/>
  <c r="S395" i="48"/>
  <c r="S396" i="48"/>
  <c r="S397" i="48"/>
  <c r="S398" i="48"/>
  <c r="S422" i="48"/>
  <c r="S424" i="48"/>
  <c r="S425" i="48"/>
  <c r="S426" i="48"/>
  <c r="S427" i="48"/>
  <c r="S428" i="48"/>
  <c r="S429" i="48"/>
  <c r="S430" i="48"/>
  <c r="S431" i="48"/>
  <c r="S432" i="48"/>
  <c r="S433" i="48"/>
  <c r="S434" i="48"/>
  <c r="S436" i="48"/>
  <c r="S437" i="48"/>
  <c r="S438" i="48"/>
  <c r="S439" i="48"/>
  <c r="S440" i="48"/>
  <c r="S441" i="48"/>
  <c r="S442" i="48"/>
  <c r="S443" i="48"/>
  <c r="S444" i="48"/>
  <c r="S445" i="48"/>
  <c r="S458" i="48"/>
  <c r="S460" i="48"/>
  <c r="S461" i="48"/>
  <c r="S462" i="48"/>
  <c r="S463" i="48"/>
  <c r="S464" i="48"/>
  <c r="S465" i="48"/>
  <c r="S466" i="48"/>
  <c r="S467" i="48"/>
  <c r="S468" i="48"/>
  <c r="S469" i="48"/>
  <c r="S470" i="48"/>
  <c r="S472" i="48"/>
  <c r="S473" i="48"/>
  <c r="S474" i="48"/>
  <c r="S475" i="48"/>
  <c r="S476" i="48"/>
  <c r="S477" i="48"/>
  <c r="S478" i="48"/>
  <c r="S479" i="48"/>
  <c r="S480" i="48"/>
  <c r="S481" i="48"/>
  <c r="S482" i="48"/>
  <c r="S494" i="48"/>
  <c r="S506" i="48"/>
  <c r="S518" i="48"/>
  <c r="S520" i="48"/>
  <c r="S521" i="48"/>
  <c r="S522" i="48"/>
  <c r="S523" i="48"/>
  <c r="S524" i="48"/>
  <c r="S525" i="48"/>
  <c r="S526" i="48"/>
  <c r="S527" i="48"/>
  <c r="S528" i="48"/>
  <c r="S529" i="48"/>
  <c r="S530" i="48"/>
  <c r="S532" i="48"/>
  <c r="S533" i="48"/>
  <c r="S534" i="48"/>
  <c r="S537" i="48"/>
  <c r="S538" i="48"/>
  <c r="S542" i="48"/>
  <c r="S544" i="48"/>
  <c r="S545" i="48"/>
  <c r="S546" i="48"/>
  <c r="S547" i="48"/>
  <c r="S548" i="48"/>
  <c r="S549" i="48"/>
  <c r="S550" i="48"/>
  <c r="S551" i="48"/>
  <c r="L29" i="49"/>
  <c r="L28" i="49"/>
  <c r="L17" i="49"/>
  <c r="L18" i="49"/>
  <c r="L19" i="49"/>
  <c r="L20" i="49"/>
  <c r="L21" i="49"/>
  <c r="L22" i="49"/>
  <c r="L23" i="49"/>
  <c r="L24" i="49"/>
  <c r="L25" i="49"/>
  <c r="L26" i="49"/>
  <c r="L16" i="49"/>
  <c r="L15" i="49"/>
  <c r="L14" i="49"/>
  <c r="L11" i="49"/>
  <c r="L12" i="49"/>
  <c r="L13" i="49"/>
  <c r="L10" i="49"/>
  <c r="L135" i="48" l="1"/>
  <c r="L9" i="49"/>
  <c r="L8" i="49"/>
  <c r="L7" i="49"/>
  <c r="L3" i="49"/>
  <c r="L4" i="49"/>
  <c r="Q3" i="48"/>
  <c r="Q15" i="48"/>
  <c r="Q27" i="48"/>
  <c r="Q39" i="48"/>
  <c r="Q51" i="48"/>
  <c r="Q63" i="48"/>
  <c r="Q75" i="48"/>
  <c r="Q87" i="48"/>
  <c r="Q99" i="48"/>
  <c r="Q111" i="48"/>
  <c r="Q123" i="48"/>
  <c r="Q147" i="48"/>
  <c r="Q159" i="48"/>
  <c r="Q171" i="48"/>
  <c r="Q183" i="48"/>
  <c r="Q195" i="48"/>
  <c r="Q207" i="48"/>
  <c r="Q219" i="48"/>
  <c r="Q231" i="48"/>
  <c r="Q243" i="48"/>
  <c r="Q255" i="48"/>
  <c r="Q267" i="48"/>
  <c r="Q279" i="48"/>
  <c r="Q291" i="48"/>
  <c r="Q303" i="48"/>
  <c r="Q315" i="48"/>
  <c r="Q327" i="48"/>
  <c r="Q339" i="48"/>
  <c r="Q351" i="48"/>
  <c r="Q363" i="48"/>
  <c r="Q375" i="48"/>
  <c r="Q387" i="48"/>
  <c r="Q423" i="48"/>
  <c r="Q435" i="48"/>
  <c r="Q459" i="48"/>
  <c r="Q471" i="48"/>
  <c r="Q519" i="48"/>
  <c r="Q531" i="48"/>
  <c r="Q543" i="48"/>
  <c r="P147" i="48"/>
  <c r="P159" i="48"/>
  <c r="P351" i="48"/>
  <c r="P543" i="48"/>
  <c r="R519" i="48"/>
  <c r="S519" i="48" s="1"/>
  <c r="R531" i="48"/>
  <c r="S531" i="48" s="1"/>
  <c r="R543" i="48"/>
  <c r="S543" i="48" s="1"/>
  <c r="R3" i="48"/>
  <c r="S3" i="48" s="1"/>
  <c r="R15" i="48"/>
  <c r="S15" i="48" s="1"/>
  <c r="R27" i="48"/>
  <c r="S27" i="48" s="1"/>
  <c r="R39" i="48"/>
  <c r="S39" i="48" s="1"/>
  <c r="R51" i="48"/>
  <c r="S51" i="48" s="1"/>
  <c r="R63" i="48"/>
  <c r="S63" i="48" s="1"/>
  <c r="R75" i="48"/>
  <c r="S75" i="48" s="1"/>
  <c r="R87" i="48"/>
  <c r="S87" i="48" s="1"/>
  <c r="R99" i="48"/>
  <c r="S99" i="48" s="1"/>
  <c r="R111" i="48"/>
  <c r="S111" i="48" s="1"/>
  <c r="R123" i="48"/>
  <c r="S123" i="48" s="1"/>
  <c r="R147" i="48"/>
  <c r="S147" i="48" s="1"/>
  <c r="R159" i="48"/>
  <c r="S159" i="48" s="1"/>
  <c r="R171" i="48"/>
  <c r="S171" i="48" s="1"/>
  <c r="R183" i="48"/>
  <c r="R195" i="48"/>
  <c r="R207" i="48"/>
  <c r="R219" i="48"/>
  <c r="S219" i="48" s="1"/>
  <c r="R231" i="48"/>
  <c r="S231" i="48" s="1"/>
  <c r="R243" i="48"/>
  <c r="S243" i="48" s="1"/>
  <c r="R255" i="48"/>
  <c r="S255" i="48" s="1"/>
  <c r="R267" i="48"/>
  <c r="S267" i="48" s="1"/>
  <c r="R279" i="48"/>
  <c r="S279" i="48" s="1"/>
  <c r="R291" i="48"/>
  <c r="S291" i="48" s="1"/>
  <c r="R303" i="48"/>
  <c r="R315" i="48"/>
  <c r="S315" i="48" s="1"/>
  <c r="R327" i="48"/>
  <c r="S327" i="48" s="1"/>
  <c r="R339" i="48"/>
  <c r="S339" i="48" s="1"/>
  <c r="R351" i="48"/>
  <c r="S351" i="48" s="1"/>
  <c r="R363" i="48"/>
  <c r="S363" i="48" s="1"/>
  <c r="R375" i="48"/>
  <c r="S375" i="48" s="1"/>
  <c r="R387" i="48"/>
  <c r="S387" i="48" s="1"/>
  <c r="S399" i="48"/>
  <c r="R423" i="48"/>
  <c r="S423" i="48" s="1"/>
  <c r="R435" i="48"/>
  <c r="S435" i="48" s="1"/>
  <c r="R459" i="48"/>
  <c r="S459" i="48" s="1"/>
  <c r="R471" i="48"/>
  <c r="S471" i="48" s="1"/>
  <c r="M531" i="48"/>
  <c r="M519" i="48"/>
  <c r="M471" i="48"/>
  <c r="M459" i="48"/>
  <c r="M435" i="48"/>
  <c r="M423" i="48"/>
  <c r="M387" i="48"/>
  <c r="M375" i="48"/>
  <c r="M363" i="48"/>
  <c r="M339" i="48"/>
  <c r="M327" i="48"/>
  <c r="M279" i="48"/>
  <c r="M267" i="48"/>
  <c r="M255" i="48"/>
  <c r="M243" i="48"/>
  <c r="P207" i="48"/>
  <c r="M87" i="48"/>
  <c r="M75" i="48"/>
  <c r="M63" i="48"/>
  <c r="L63" i="48" s="1"/>
  <c r="M51" i="48"/>
  <c r="M39" i="48"/>
  <c r="M27" i="48"/>
  <c r="J3" i="48"/>
  <c r="P75" i="48" l="1"/>
  <c r="L75" i="48"/>
  <c r="P279" i="48"/>
  <c r="L279" i="48"/>
  <c r="P519" i="48"/>
  <c r="L519" i="48"/>
  <c r="P39" i="48"/>
  <c r="L39" i="48"/>
  <c r="P243" i="48"/>
  <c r="L243" i="48"/>
  <c r="P315" i="48"/>
  <c r="L315" i="48"/>
  <c r="P375" i="48"/>
  <c r="L375" i="48"/>
  <c r="P435" i="48"/>
  <c r="L435" i="48"/>
  <c r="P531" i="48"/>
  <c r="L531" i="48"/>
  <c r="P363" i="48"/>
  <c r="L363" i="48"/>
  <c r="P51" i="48"/>
  <c r="L51" i="48"/>
  <c r="P459" i="48"/>
  <c r="L459" i="48"/>
  <c r="P27" i="48"/>
  <c r="L27" i="48"/>
  <c r="P231" i="48"/>
  <c r="L231" i="48"/>
  <c r="P423" i="48"/>
  <c r="L423" i="48"/>
  <c r="P255" i="48"/>
  <c r="L255" i="48"/>
  <c r="P327" i="48"/>
  <c r="L327" i="48"/>
  <c r="P387" i="48"/>
  <c r="L387" i="48"/>
  <c r="P63" i="48"/>
  <c r="P219" i="48"/>
  <c r="L219" i="48"/>
  <c r="P267" i="48"/>
  <c r="L267" i="48"/>
  <c r="P339" i="48"/>
  <c r="L339" i="48"/>
  <c r="L399" i="48"/>
  <c r="P471" i="48"/>
  <c r="L471" i="48"/>
  <c r="P87" i="48"/>
  <c r="L87" i="48"/>
  <c r="F29" i="49"/>
  <c r="F26" i="49"/>
  <c r="F25" i="49"/>
  <c r="F24" i="49"/>
  <c r="F23" i="49"/>
  <c r="F22" i="49"/>
  <c r="F21" i="49"/>
  <c r="F20" i="49"/>
  <c r="F19" i="49"/>
  <c r="F18" i="49"/>
  <c r="F16" i="49"/>
  <c r="F17" i="49"/>
  <c r="F14" i="49"/>
  <c r="F15" i="49"/>
  <c r="F11" i="49"/>
  <c r="F12" i="49"/>
  <c r="F13" i="49"/>
  <c r="F10" i="49"/>
  <c r="F8" i="49"/>
  <c r="M303" i="48" l="1"/>
  <c r="P303" i="48" s="1"/>
  <c r="M291" i="48"/>
  <c r="P195" i="48"/>
  <c r="P291" i="48" l="1"/>
  <c r="L291" i="48"/>
  <c r="M183" i="48"/>
  <c r="P183" i="48" s="1"/>
  <c r="M171" i="48"/>
  <c r="P171" i="48" s="1"/>
  <c r="M123" i="48"/>
  <c r="M111" i="48"/>
  <c r="P111" i="48" s="1"/>
  <c r="M99" i="48"/>
  <c r="M15" i="48"/>
  <c r="M3" i="48"/>
  <c r="P15" i="48" l="1"/>
  <c r="L15" i="48"/>
  <c r="P99" i="48"/>
  <c r="L99" i="48"/>
  <c r="P3" i="48"/>
  <c r="L3" i="48"/>
  <c r="P123" i="48"/>
  <c r="L123" i="48"/>
  <c r="K51" i="36" l="1"/>
  <c r="H51" i="36"/>
  <c r="G51" i="36"/>
  <c r="F51" i="36"/>
  <c r="E51" i="36"/>
  <c r="K50" i="36"/>
  <c r="H50" i="36"/>
  <c r="G50" i="36"/>
  <c r="F50" i="36"/>
  <c r="E50" i="36"/>
  <c r="K49" i="36"/>
  <c r="H49" i="36"/>
  <c r="G49" i="36"/>
  <c r="F49" i="36"/>
  <c r="E49" i="36"/>
  <c r="K48" i="36"/>
  <c r="H48" i="36"/>
  <c r="G48" i="36"/>
  <c r="F48" i="36"/>
  <c r="E48" i="36"/>
  <c r="K47" i="36"/>
  <c r="H47" i="36"/>
  <c r="G47" i="36"/>
  <c r="F47" i="36"/>
  <c r="E47" i="36"/>
  <c r="K46" i="36"/>
  <c r="H46" i="36"/>
  <c r="G46" i="36"/>
  <c r="F46" i="36"/>
  <c r="E46" i="36"/>
  <c r="K45" i="36"/>
  <c r="H45" i="36"/>
  <c r="G45" i="36"/>
  <c r="F45" i="36"/>
  <c r="E45" i="36"/>
  <c r="K44" i="36"/>
  <c r="H44" i="36"/>
  <c r="I44" i="36" s="1"/>
  <c r="F44" i="36"/>
  <c r="E44" i="36"/>
  <c r="K42" i="36"/>
  <c r="H42" i="36"/>
  <c r="G42" i="36"/>
  <c r="F42" i="36"/>
  <c r="E42" i="36"/>
  <c r="K41" i="36"/>
  <c r="H41" i="36"/>
  <c r="G41" i="36"/>
  <c r="F41" i="36"/>
  <c r="E41" i="36"/>
  <c r="K40" i="36"/>
  <c r="H40" i="36"/>
  <c r="G40" i="36"/>
  <c r="F40" i="36"/>
  <c r="E40" i="36"/>
  <c r="K39" i="36"/>
  <c r="H39" i="36"/>
  <c r="G39" i="36"/>
  <c r="F39" i="36"/>
  <c r="E39" i="36"/>
  <c r="K38" i="36"/>
  <c r="H38" i="36"/>
  <c r="G38" i="36"/>
  <c r="F38" i="36"/>
  <c r="E38" i="36"/>
  <c r="K37" i="36"/>
  <c r="H37" i="36"/>
  <c r="G37" i="36"/>
  <c r="F37" i="36"/>
  <c r="E37" i="36"/>
  <c r="K36" i="36"/>
  <c r="H36" i="36"/>
  <c r="I36" i="36" s="1"/>
  <c r="G36" i="36"/>
  <c r="F36" i="36"/>
  <c r="E36" i="36"/>
  <c r="K35" i="36"/>
  <c r="H35" i="36"/>
  <c r="G35" i="36"/>
  <c r="F35" i="36"/>
  <c r="E35" i="36"/>
  <c r="K34" i="36"/>
  <c r="H34" i="36"/>
  <c r="G34" i="36"/>
  <c r="F34" i="36"/>
  <c r="E34" i="36"/>
  <c r="K33" i="36"/>
  <c r="H33" i="36"/>
  <c r="G33" i="36"/>
  <c r="F33" i="36"/>
  <c r="E33" i="36"/>
  <c r="K32" i="36"/>
  <c r="H32" i="36"/>
  <c r="G32" i="36"/>
  <c r="F32" i="36"/>
  <c r="E32" i="36"/>
  <c r="K30" i="36"/>
  <c r="H30" i="36"/>
  <c r="G30" i="36"/>
  <c r="F30" i="36"/>
  <c r="E30" i="36"/>
  <c r="K29" i="36"/>
  <c r="H29" i="36"/>
  <c r="G29" i="36"/>
  <c r="F29" i="36"/>
  <c r="E29" i="36"/>
  <c r="K28" i="36"/>
  <c r="H28" i="36"/>
  <c r="G28" i="36"/>
  <c r="F28" i="36"/>
  <c r="E28" i="36"/>
  <c r="K27" i="36"/>
  <c r="H27" i="36"/>
  <c r="I27" i="36" s="1"/>
  <c r="G27" i="36"/>
  <c r="F27" i="36"/>
  <c r="E27" i="36"/>
  <c r="K26" i="36"/>
  <c r="H26" i="36"/>
  <c r="G26" i="36"/>
  <c r="F26" i="36"/>
  <c r="E26" i="36"/>
  <c r="K25" i="36"/>
  <c r="H25" i="36"/>
  <c r="G25" i="36"/>
  <c r="F25" i="36"/>
  <c r="E25" i="36"/>
  <c r="K24" i="36"/>
  <c r="H24" i="36"/>
  <c r="G24" i="36"/>
  <c r="F24" i="36"/>
  <c r="E24" i="36"/>
  <c r="K23" i="36"/>
  <c r="H23" i="36"/>
  <c r="I23" i="36" s="1"/>
  <c r="G23" i="36"/>
  <c r="F23" i="36"/>
  <c r="E23" i="36"/>
  <c r="K22" i="36"/>
  <c r="H22" i="36"/>
  <c r="G22" i="36"/>
  <c r="F22" i="36"/>
  <c r="E22" i="36"/>
  <c r="K21" i="36"/>
  <c r="H21" i="36"/>
  <c r="G21" i="36"/>
  <c r="F21" i="36"/>
  <c r="E21" i="36"/>
  <c r="K20" i="36"/>
  <c r="H20" i="36"/>
  <c r="G20" i="36"/>
  <c r="F20" i="36"/>
  <c r="E20" i="36"/>
  <c r="K19" i="36"/>
  <c r="H19" i="36"/>
  <c r="I19" i="36" s="1"/>
  <c r="G19" i="36"/>
  <c r="F19" i="36"/>
  <c r="E19" i="36"/>
  <c r="K18" i="36"/>
  <c r="H18" i="36"/>
  <c r="G18" i="36"/>
  <c r="F18" i="36"/>
  <c r="E18" i="36"/>
  <c r="K17" i="36"/>
  <c r="H17" i="36"/>
  <c r="G17" i="36"/>
  <c r="F17" i="36"/>
  <c r="E17" i="36"/>
  <c r="K16" i="36"/>
  <c r="H16" i="36"/>
  <c r="G16" i="36"/>
  <c r="F16" i="36"/>
  <c r="E16" i="36"/>
  <c r="K15" i="36"/>
  <c r="H15" i="36"/>
  <c r="G15" i="36"/>
  <c r="F15" i="36"/>
  <c r="E15" i="36"/>
  <c r="K14" i="36"/>
  <c r="H14" i="36"/>
  <c r="G14" i="36"/>
  <c r="F14" i="36"/>
  <c r="E14" i="36"/>
  <c r="K13" i="36"/>
  <c r="H13" i="36"/>
  <c r="G13" i="36"/>
  <c r="F13" i="36"/>
  <c r="E13" i="36"/>
  <c r="K12" i="36"/>
  <c r="H12" i="36"/>
  <c r="G12" i="36"/>
  <c r="F12" i="36"/>
  <c r="E12" i="36"/>
  <c r="I11" i="36"/>
  <c r="I10" i="36"/>
  <c r="I9" i="36"/>
  <c r="I8" i="36"/>
  <c r="I7" i="36"/>
  <c r="I6" i="36"/>
  <c r="K5" i="36"/>
  <c r="H5" i="36"/>
  <c r="G5" i="36"/>
  <c r="F5" i="36"/>
  <c r="E5" i="36"/>
  <c r="K4" i="36"/>
  <c r="H4" i="36"/>
  <c r="I4" i="36" s="1"/>
  <c r="G4" i="36"/>
  <c r="F4" i="36"/>
  <c r="E4" i="36"/>
  <c r="K3" i="36"/>
  <c r="H3" i="36"/>
  <c r="G3" i="36"/>
  <c r="F3" i="36"/>
  <c r="E3" i="36"/>
  <c r="I24" i="36" l="1"/>
  <c r="I42" i="36"/>
  <c r="I26" i="36"/>
  <c r="I28" i="36"/>
  <c r="I30" i="36"/>
  <c r="I33" i="36"/>
  <c r="I35" i="36"/>
  <c r="I37" i="36"/>
  <c r="I41" i="36"/>
  <c r="I47" i="36"/>
  <c r="I51" i="36"/>
  <c r="I13" i="36"/>
  <c r="I40" i="36"/>
  <c r="I12" i="36"/>
  <c r="I14" i="36"/>
  <c r="I16" i="36"/>
  <c r="I18" i="36"/>
  <c r="I20" i="36"/>
  <c r="I29" i="36"/>
  <c r="I46" i="36"/>
  <c r="I48" i="36"/>
  <c r="I34" i="36"/>
  <c r="I45" i="36"/>
  <c r="I17" i="36"/>
  <c r="I21" i="36"/>
  <c r="I38" i="36"/>
  <c r="I49" i="36"/>
  <c r="I5" i="36"/>
  <c r="I3" i="36"/>
  <c r="I15" i="36"/>
  <c r="I22" i="36"/>
  <c r="I25" i="36"/>
  <c r="I32" i="36"/>
  <c r="I39" i="36"/>
  <c r="I50" i="36"/>
  <c r="I8" i="31" l="1"/>
  <c r="I9" i="31"/>
  <c r="I10" i="31" l="1"/>
  <c r="I11" i="31"/>
  <c r="I12" i="31"/>
  <c r="I13" i="31"/>
  <c r="F29" i="31"/>
  <c r="G29" i="31"/>
  <c r="H29" i="31"/>
  <c r="J29" i="31"/>
  <c r="K29" i="31"/>
  <c r="F28" i="31"/>
  <c r="G28" i="31"/>
  <c r="H28" i="31"/>
  <c r="I28" i="31" s="1"/>
  <c r="J28" i="31"/>
  <c r="K28" i="31"/>
  <c r="F27" i="31"/>
  <c r="G27" i="31"/>
  <c r="H27" i="31"/>
  <c r="J27" i="31"/>
  <c r="K27" i="31"/>
  <c r="F26" i="31"/>
  <c r="G26" i="31"/>
  <c r="H26" i="31"/>
  <c r="J26" i="31"/>
  <c r="K26" i="31"/>
  <c r="F25" i="31"/>
  <c r="G25" i="31"/>
  <c r="H25" i="31"/>
  <c r="J25" i="31"/>
  <c r="K25" i="31"/>
  <c r="E25" i="31"/>
  <c r="E26" i="31"/>
  <c r="E27" i="31"/>
  <c r="E28" i="31"/>
  <c r="E29" i="31"/>
  <c r="F50" i="31"/>
  <c r="G50" i="31"/>
  <c r="H50" i="31"/>
  <c r="J50" i="31"/>
  <c r="K50" i="31"/>
  <c r="F49" i="31"/>
  <c r="G49" i="31"/>
  <c r="H49" i="31"/>
  <c r="J49" i="31"/>
  <c r="K49" i="31"/>
  <c r="F48" i="31"/>
  <c r="G48" i="31"/>
  <c r="H48" i="31"/>
  <c r="J48" i="31"/>
  <c r="K48" i="31"/>
  <c r="F47" i="31"/>
  <c r="G47" i="31"/>
  <c r="H47" i="31"/>
  <c r="J47" i="31"/>
  <c r="K47" i="31"/>
  <c r="E47" i="31"/>
  <c r="E48" i="31"/>
  <c r="E49" i="31"/>
  <c r="E50" i="31"/>
  <c r="F63" i="31"/>
  <c r="G63" i="31"/>
  <c r="H63" i="31"/>
  <c r="J63" i="31"/>
  <c r="K63" i="31"/>
  <c r="F62" i="31"/>
  <c r="G62" i="31"/>
  <c r="H62" i="31"/>
  <c r="J62" i="31"/>
  <c r="K62" i="31"/>
  <c r="F61" i="31"/>
  <c r="G61" i="31"/>
  <c r="H61" i="31"/>
  <c r="J61" i="31"/>
  <c r="K61" i="31"/>
  <c r="F60" i="31"/>
  <c r="G60" i="31"/>
  <c r="H60" i="31"/>
  <c r="J60" i="31"/>
  <c r="K60" i="31"/>
  <c r="F58" i="31"/>
  <c r="G58" i="31"/>
  <c r="H58" i="31"/>
  <c r="J58" i="31"/>
  <c r="K58" i="31"/>
  <c r="F57" i="31"/>
  <c r="G57" i="31"/>
  <c r="H57" i="31"/>
  <c r="J57" i="31"/>
  <c r="K57" i="31"/>
  <c r="F55" i="31"/>
  <c r="G55" i="31"/>
  <c r="H55" i="31"/>
  <c r="J55" i="31"/>
  <c r="K55" i="31"/>
  <c r="F54" i="31"/>
  <c r="H54" i="31"/>
  <c r="I54" i="31" s="1"/>
  <c r="K54" i="31"/>
  <c r="F51" i="31"/>
  <c r="G51" i="31"/>
  <c r="H51" i="31"/>
  <c r="J51" i="31"/>
  <c r="K51" i="31"/>
  <c r="F46" i="31"/>
  <c r="G46" i="31"/>
  <c r="H46" i="31"/>
  <c r="J46" i="31"/>
  <c r="K46" i="31"/>
  <c r="F44" i="31"/>
  <c r="G44" i="31"/>
  <c r="H44" i="31"/>
  <c r="J44" i="31"/>
  <c r="K44" i="31"/>
  <c r="F43" i="31"/>
  <c r="G43" i="31"/>
  <c r="H43" i="31"/>
  <c r="J43" i="31"/>
  <c r="K43" i="31"/>
  <c r="F42" i="31"/>
  <c r="G42" i="31"/>
  <c r="H42" i="31"/>
  <c r="J42" i="31"/>
  <c r="K42" i="31"/>
  <c r="F41" i="31"/>
  <c r="G41" i="31"/>
  <c r="H41" i="31"/>
  <c r="J41" i="31"/>
  <c r="K41" i="31"/>
  <c r="F40" i="31"/>
  <c r="G40" i="31"/>
  <c r="H40" i="31"/>
  <c r="J40" i="31"/>
  <c r="K40" i="31"/>
  <c r="F37" i="31"/>
  <c r="G37" i="31"/>
  <c r="H37" i="31"/>
  <c r="J37" i="31"/>
  <c r="K37" i="31"/>
  <c r="F36" i="31"/>
  <c r="G36" i="31"/>
  <c r="H36" i="31"/>
  <c r="J36" i="31"/>
  <c r="K36" i="31"/>
  <c r="F35" i="31"/>
  <c r="G35" i="31"/>
  <c r="H35" i="31"/>
  <c r="J35" i="31"/>
  <c r="K35" i="31"/>
  <c r="F34" i="31"/>
  <c r="G34" i="31"/>
  <c r="H34" i="31"/>
  <c r="J34" i="31"/>
  <c r="K34" i="31"/>
  <c r="F33" i="31"/>
  <c r="G33" i="31"/>
  <c r="H33" i="31"/>
  <c r="J33" i="31"/>
  <c r="K33" i="31"/>
  <c r="F32" i="31"/>
  <c r="G32" i="31"/>
  <c r="H32" i="31"/>
  <c r="J32" i="31"/>
  <c r="K32" i="31"/>
  <c r="F31" i="31"/>
  <c r="G31" i="31"/>
  <c r="H31" i="31"/>
  <c r="J31" i="31"/>
  <c r="K31" i="31"/>
  <c r="F24" i="31"/>
  <c r="G24" i="31"/>
  <c r="H24" i="31"/>
  <c r="J24" i="31"/>
  <c r="K24" i="31"/>
  <c r="F22" i="31"/>
  <c r="G22" i="31"/>
  <c r="H22" i="31"/>
  <c r="J22" i="31"/>
  <c r="K22" i="31"/>
  <c r="F21" i="31"/>
  <c r="G21" i="31"/>
  <c r="H21" i="31"/>
  <c r="J21" i="31"/>
  <c r="K21" i="31"/>
  <c r="F19" i="31"/>
  <c r="G19" i="31"/>
  <c r="H19" i="31"/>
  <c r="J19" i="31"/>
  <c r="K19" i="31"/>
  <c r="F18" i="31"/>
  <c r="G18" i="31"/>
  <c r="H18" i="31"/>
  <c r="J18" i="31"/>
  <c r="K18" i="31"/>
  <c r="F16" i="31"/>
  <c r="G16" i="31"/>
  <c r="H16" i="31"/>
  <c r="J16" i="31"/>
  <c r="K16" i="31"/>
  <c r="F15" i="31"/>
  <c r="G15" i="31"/>
  <c r="H15" i="31"/>
  <c r="J15" i="31"/>
  <c r="K15" i="31"/>
  <c r="E15" i="31"/>
  <c r="E16" i="31"/>
  <c r="E18" i="31"/>
  <c r="E19" i="31"/>
  <c r="E21" i="31"/>
  <c r="E22" i="31"/>
  <c r="E24" i="31"/>
  <c r="E31" i="31"/>
  <c r="E32" i="31"/>
  <c r="E33" i="31"/>
  <c r="E34" i="31"/>
  <c r="E35" i="31"/>
  <c r="E36" i="31"/>
  <c r="E37" i="31"/>
  <c r="E40" i="31"/>
  <c r="E41" i="31"/>
  <c r="E42" i="31"/>
  <c r="E43" i="31"/>
  <c r="E44" i="31"/>
  <c r="E46" i="31"/>
  <c r="E51" i="31"/>
  <c r="E54" i="31"/>
  <c r="E55" i="31"/>
  <c r="E57" i="31"/>
  <c r="E58" i="31"/>
  <c r="E60" i="31"/>
  <c r="E61" i="31"/>
  <c r="E62" i="31"/>
  <c r="E63" i="31"/>
  <c r="F6" i="31"/>
  <c r="G6" i="31"/>
  <c r="H6" i="31"/>
  <c r="J6" i="31"/>
  <c r="K6" i="31"/>
  <c r="F5" i="31"/>
  <c r="G5" i="31"/>
  <c r="H5" i="31"/>
  <c r="J5" i="31"/>
  <c r="K5" i="31"/>
  <c r="E5" i="31"/>
  <c r="E6" i="31"/>
  <c r="F4" i="31"/>
  <c r="G4" i="31"/>
  <c r="H4" i="31"/>
  <c r="J4" i="31"/>
  <c r="K4" i="31"/>
  <c r="E4" i="31"/>
  <c r="I60" i="31" l="1"/>
  <c r="I49" i="31"/>
  <c r="I19" i="31"/>
  <c r="I50" i="31"/>
  <c r="I27" i="31"/>
  <c r="I58" i="31"/>
  <c r="I4" i="31"/>
  <c r="I6" i="31"/>
  <c r="I34" i="31"/>
  <c r="I40" i="31"/>
  <c r="I44" i="31"/>
  <c r="I63" i="31"/>
  <c r="I31" i="31"/>
  <c r="I35" i="31"/>
  <c r="I41" i="31"/>
  <c r="I46" i="31"/>
  <c r="I47" i="31"/>
  <c r="I15" i="31"/>
  <c r="I21" i="31"/>
  <c r="I32" i="31"/>
  <c r="I36" i="31"/>
  <c r="I42" i="31"/>
  <c r="I51" i="31"/>
  <c r="I55" i="31"/>
  <c r="I61" i="31"/>
  <c r="I48" i="31"/>
  <c r="I25" i="31"/>
  <c r="I29" i="31"/>
  <c r="I5" i="31"/>
  <c r="I16" i="31"/>
  <c r="I18" i="31"/>
  <c r="I22" i="31"/>
  <c r="I24" i="31"/>
  <c r="I33" i="31"/>
  <c r="I37" i="31"/>
  <c r="I43" i="31"/>
  <c r="I57" i="31"/>
  <c r="I62" i="31"/>
  <c r="I26" i="31"/>
</calcChain>
</file>

<file path=xl/sharedStrings.xml><?xml version="1.0" encoding="utf-8"?>
<sst xmlns="http://schemas.openxmlformats.org/spreadsheetml/2006/main" count="9683" uniqueCount="1618">
  <si>
    <t>Reference</t>
  </si>
  <si>
    <t>Min</t>
  </si>
  <si>
    <t>Max</t>
  </si>
  <si>
    <t>Uncertainty</t>
  </si>
  <si>
    <t>Outcome</t>
  </si>
  <si>
    <t>Life Expectancy Normal Variation</t>
  </si>
  <si>
    <t>Normal Fertility Variation</t>
  </si>
  <si>
    <t>Birth Gender Fraction Variation</t>
  </si>
  <si>
    <t>Sector</t>
  </si>
  <si>
    <t>Population</t>
  </si>
  <si>
    <t>Economy</t>
  </si>
  <si>
    <t>Energy demand (market share)</t>
  </si>
  <si>
    <t>Carbon capture and storage</t>
  </si>
  <si>
    <t>Renewable energy supply</t>
  </si>
  <si>
    <t>Fossil energy supply</t>
  </si>
  <si>
    <t xml:space="preserve">Land-use </t>
  </si>
  <si>
    <t>Fertality/yield</t>
  </si>
  <si>
    <t>Food and diet</t>
  </si>
  <si>
    <t>Climate</t>
  </si>
  <si>
    <t>GWP per Capita Indicator</t>
  </si>
  <si>
    <t>Energy Demand Indicator</t>
  </si>
  <si>
    <t>Solar Energy Production Indicator</t>
  </si>
  <si>
    <t>Wind Energy Production Indicator</t>
  </si>
  <si>
    <t>Biomass Energy Production Indicator</t>
  </si>
  <si>
    <t>Oil Production Indicator</t>
  </si>
  <si>
    <t>Gas Production Indicator</t>
  </si>
  <si>
    <t>Coal Production Indicator</t>
  </si>
  <si>
    <t>Total Croplands Indicator</t>
  </si>
  <si>
    <t>Forest Land Indicator</t>
  </si>
  <si>
    <t>Pasture Land Indicator</t>
  </si>
  <si>
    <t>Livestock Production Indicator</t>
  </si>
  <si>
    <t>Total CO2 Emissions Indicator</t>
  </si>
  <si>
    <t>Nonenergy Crops Production Indicator</t>
  </si>
  <si>
    <t>Primary Education Percentage m Variation</t>
  </si>
  <si>
    <t>Primary Education Percentage f Variation</t>
  </si>
  <si>
    <t>Secondary Education Percentage m Variation</t>
  </si>
  <si>
    <t>Secondary Education Percentage f Variation</t>
  </si>
  <si>
    <t>Tertiary Education Percentage m Variation</t>
  </si>
  <si>
    <t>Tertiary Education Percentage f Variation</t>
  </si>
  <si>
    <t>Capital Elasticity Output Variation</t>
  </si>
  <si>
    <t>Labor Force Participation Fraction Variation</t>
  </si>
  <si>
    <t>Other Technology Steepness Final Change Rate Variation</t>
  </si>
  <si>
    <t>Other Technology Steepness Ramp Period Variation</t>
  </si>
  <si>
    <t>Other Technology Inflection Point Variation</t>
  </si>
  <si>
    <t>Max Energy Demand per Capita Variation</t>
  </si>
  <si>
    <t>Price Elasticity of Demand Oil Variation</t>
  </si>
  <si>
    <t>Price Elasticity of Demand Gas Variation</t>
  </si>
  <si>
    <t>Price Elasticity of Demand Coal Variation</t>
  </si>
  <si>
    <t>Price Elasticity of Demand Wind and Solar Variation</t>
  </si>
  <si>
    <t>Price Elasticity of Demand Biomass Variation</t>
  </si>
  <si>
    <t>Reference Change in Fossil Fuel Market Share Variation</t>
  </si>
  <si>
    <t>Effectiveness of Pressure to Adjust C Emission Variation</t>
  </si>
  <si>
    <t>Time to Improve CCS Variation</t>
  </si>
  <si>
    <t>Solar Available Area Variation</t>
  </si>
  <si>
    <t>Fraction of Revenue Invested in Solar Technology Ramp Investment Period Variation</t>
  </si>
  <si>
    <t>Reference Cost of Solar Energy Production Final Change Rate Variation</t>
  </si>
  <si>
    <t>Solar Conversion Efficiency Factor Final Change Rate Variation</t>
  </si>
  <si>
    <t>Wind Available Area Variation</t>
  </si>
  <si>
    <t>Reference Cost of Wind Energy Production Final Change Rate Variation</t>
  </si>
  <si>
    <t>Average Wind Capacity per SqMeter Final Change Rate Variation</t>
  </si>
  <si>
    <t>Fraction for Biomass Learning Curve Strength Variation</t>
  </si>
  <si>
    <t>Reference Cost of Biomass Energy Production Final Change Rate Variation</t>
  </si>
  <si>
    <t>Biomass Conversion Efficiency Final Change Rate Variation</t>
  </si>
  <si>
    <t>Fraction for Wind and Solar Learning Curve Strength Variation</t>
  </si>
  <si>
    <t>Effectiveness of Investment in Renewable Energy Technology Variation</t>
  </si>
  <si>
    <t>Effectiveness of Investment in Renewable Installation Technology Variation</t>
  </si>
  <si>
    <t>Renewable Energy Technology Development Time Variation</t>
  </si>
  <si>
    <t>Renewable Installation Technology Development Time Variation</t>
  </si>
  <si>
    <t>Renewable Final Investment Fraction Variation</t>
  </si>
  <si>
    <t>Renewable Cost Reduction and Technology Improvement Ramp Period Variation</t>
  </si>
  <si>
    <t>Relative Productivity of Investment in Oil Exploration Variation</t>
  </si>
  <si>
    <t>Fraction of Oil Revenues Invested in Technology Variation</t>
  </si>
  <si>
    <t>Effectiveness of Investment in Oil Discovery Technology Variation</t>
  </si>
  <si>
    <t>Effectiveness of Investment in Oil Recovery Technology Variation</t>
  </si>
  <si>
    <t>Relative Productivity of Investment in Gas Exploration Variation</t>
  </si>
  <si>
    <t>Fraction of Gas Revenues Invested in Technology Variation</t>
  </si>
  <si>
    <t>Effectiveness of Investment in Gas Discovery Technology Variation</t>
  </si>
  <si>
    <t>Effectiveness of Investment in Gas Recovery Technology Variation</t>
  </si>
  <si>
    <t>Relative Productivity of Investment in Coal Exploration Variation</t>
  </si>
  <si>
    <t>Fraction of Coal Revenues Invested in Technology Variation</t>
  </si>
  <si>
    <t>Effectiveness of Investment in Coal Discovery Technology Variation</t>
  </si>
  <si>
    <t>Effectiveness of Investment in Coal Recovery Technology Variation</t>
  </si>
  <si>
    <t>Investment in Fossil Fuel Exploration and Production Delay Variation</t>
  </si>
  <si>
    <t>Max Unit Cost of Fossil Fuel Exploration Variation</t>
  </si>
  <si>
    <t>Relative Productivity of Investment in Fossil Fuel Production Compared to Exploration Variation</t>
  </si>
  <si>
    <t>Sensitivity of Fossil Fuel Price to Supply and Demand Variation</t>
  </si>
  <si>
    <t>Agricultural Land Erosion Fraction Variation</t>
  </si>
  <si>
    <t>Fraction of Forest Land Conversion from Agriculture Variation</t>
  </si>
  <si>
    <t>Fraction of Agricultural Land Conversion from Forest Variation</t>
  </si>
  <si>
    <t>Forest to Agriculture Land Allocation Time Variation</t>
  </si>
  <si>
    <t>Agriculture to Urban Land Allocation Time Variation</t>
  </si>
  <si>
    <t>Forest to Urban Land Allocation Time Variation</t>
  </si>
  <si>
    <t>Agriculture to Forest Land Allocation Time Variation</t>
  </si>
  <si>
    <t>Other to Forest Land Allocation Time Variation</t>
  </si>
  <si>
    <t>Agricultural Land Development Time Variation</t>
  </si>
  <si>
    <t>Fraction of Urban Land Conversion from Agriculture Variation</t>
  </si>
  <si>
    <t>Forest Land Fraction Harvested excluding Protected Area Variation</t>
  </si>
  <si>
    <t>Effect of GDP on Urban Land Requirement l Variation</t>
  </si>
  <si>
    <t>Effect of GDP on Urban Land Requirement x0 Variation</t>
  </si>
  <si>
    <t>Effect of GDP on Urban Land Requirement k Variation</t>
  </si>
  <si>
    <t>Desired Agricultural Land Conversion Trend Averaging Time Variation</t>
  </si>
  <si>
    <t>Effect of GDP on Forest Management Practices Increment Ramp Period Variation</t>
  </si>
  <si>
    <t>Effect of GDP on Forest Management Practices Increment Final Change Rate Variation</t>
  </si>
  <si>
    <t>Effect of GDP on Forest Land Fertility Elasticity Variation</t>
  </si>
  <si>
    <t>Effect of GDP on Cropland Management Practices Increment Final Change Rate Variation</t>
  </si>
  <si>
    <t>Effect of GDP on Cropland Management Practices Increment Ramp Period Variation</t>
  </si>
  <si>
    <t>Effect of GDP on Cropland Management Practices Elasticity Variation</t>
  </si>
  <si>
    <t>Reference Input Neutral TC in Agriculture Variation</t>
  </si>
  <si>
    <t>Nominal Energy Agriculture Land Productivity Variation</t>
  </si>
  <si>
    <t>Reference meat yield Variation</t>
  </si>
  <si>
    <t>Feed Share of Grains Variation</t>
  </si>
  <si>
    <t>Feed Share of VegFruits Variation</t>
  </si>
  <si>
    <t>Feed Share of Pulses Variation</t>
  </si>
  <si>
    <t>Feed Share of OtherCrops Variation</t>
  </si>
  <si>
    <t>Waste Fraction PasMeat CropMeat Variation</t>
  </si>
  <si>
    <t>Waste Fraction EggsDairy Variation</t>
  </si>
  <si>
    <t>Waste Fraction PlantFood Variation</t>
  </si>
  <si>
    <t>Normal Shift Fraction from Vegetarianism to Meat Variation</t>
  </si>
  <si>
    <t>Normal Shift Fraction from Meat to Vegetarianism Variation</t>
  </si>
  <si>
    <t>Normal Fraction Intended to Change Diet Variation</t>
  </si>
  <si>
    <t>Reference Daily Caloric Intake Variation</t>
  </si>
  <si>
    <t>Response Efficacy Multiplier NoEd Variation</t>
  </si>
  <si>
    <t>Response Efficacy Multiplier Primary Variation</t>
  </si>
  <si>
    <t>Response Efficacy Multiplier Secondary Variation</t>
  </si>
  <si>
    <t>Response Efficacy Multiplier Tertiary Variation</t>
  </si>
  <si>
    <t>Self Efficacy Multiplier Male Variation</t>
  </si>
  <si>
    <t>Self Efficacy Multiplier Female Variation</t>
  </si>
  <si>
    <t>Desired Total C Emission from Fossil Fuels Variation</t>
  </si>
  <si>
    <t>Event Perception Threshold Variation</t>
  </si>
  <si>
    <t>Climate Risk Perception Delay NoEd Variation</t>
  </si>
  <si>
    <t>Climate Risk Perception Delay Primary Variation</t>
  </si>
  <si>
    <t>Climate Risk Perception Delay Secondary Variation</t>
  </si>
  <si>
    <t>Climate Risk Perception Delay Tertiary Variation</t>
  </si>
  <si>
    <t>Fossil Fuel Discovery and Recovery Technology Development Time Variation</t>
  </si>
  <si>
    <t>Diet Composition Variation</t>
  </si>
  <si>
    <t>Land-use</t>
  </si>
  <si>
    <t>SSP1</t>
  </si>
  <si>
    <t>SSP2</t>
  </si>
  <si>
    <t>SSP3</t>
  </si>
  <si>
    <t>SSP4</t>
  </si>
  <si>
    <t>SSP5</t>
  </si>
  <si>
    <t>Education</t>
  </si>
  <si>
    <t>Socioeconomic</t>
  </si>
  <si>
    <t>GDP</t>
  </si>
  <si>
    <t>Energy demand</t>
  </si>
  <si>
    <t>Emissions</t>
  </si>
  <si>
    <t>Urban Industrial Land Indicator</t>
  </si>
  <si>
    <t>Total Population Indicator</t>
  </si>
  <si>
    <t>Total Primary Education Graduates Indicator</t>
  </si>
  <si>
    <t>Total Secondary Education Graduates Indicator</t>
  </si>
  <si>
    <t>Total Tertiary Education Graduates Indicator</t>
  </si>
  <si>
    <t>CO2 Radiative Forcing Indicator</t>
  </si>
  <si>
    <t>High</t>
  </si>
  <si>
    <t>Global average</t>
  </si>
  <si>
    <t>Medium</t>
  </si>
  <si>
    <t>Low</t>
  </si>
  <si>
    <t>Relatively low</t>
  </si>
  <si>
    <t>Relatively high</t>
  </si>
  <si>
    <t>Country group</t>
  </si>
  <si>
    <t>Livestock demand</t>
  </si>
  <si>
    <t>Deforestation</t>
  </si>
  <si>
    <t>Coal production</t>
  </si>
  <si>
    <t>Gas production</t>
  </si>
  <si>
    <t>Oil production</t>
  </si>
  <si>
    <t>Wind production</t>
  </si>
  <si>
    <t>Solar production</t>
  </si>
  <si>
    <t>Biomass production</t>
  </si>
  <si>
    <t>State of the world</t>
  </si>
  <si>
    <t>Land productivity</t>
  </si>
  <si>
    <t>Meat consumption</t>
  </si>
  <si>
    <t>Urbanisation</t>
  </si>
  <si>
    <t>Undiscovered Coal Resources Variation</t>
  </si>
  <si>
    <t>Energy conversion technology</t>
  </si>
  <si>
    <t>Energy production</t>
  </si>
  <si>
    <t>Environmental Impact of food consumption</t>
  </si>
  <si>
    <t>Low+</t>
  </si>
  <si>
    <t>High-</t>
  </si>
  <si>
    <t>Neutral</t>
  </si>
  <si>
    <t>Population (KC and Lutz)</t>
  </si>
  <si>
    <t>Education (KC and Lutz)</t>
  </si>
  <si>
    <t>Urbanisation (Jiang and O'Neill)</t>
  </si>
  <si>
    <t>Lifestyle and environemtal awareness (Bauer et al.)</t>
  </si>
  <si>
    <t>Technological development (Bauer et al.)</t>
  </si>
  <si>
    <t>Social acceptance (Bauer et al.)</t>
  </si>
  <si>
    <t>Yield increase (Popp et al.)</t>
  </si>
  <si>
    <t>Forest protection (Popp et al.)</t>
  </si>
  <si>
    <t>Low-income countries</t>
  </si>
  <si>
    <t>High-income countries</t>
  </si>
  <si>
    <t>Reference value</t>
  </si>
  <si>
    <t>Description</t>
  </si>
  <si>
    <t>Uncertain socioeconomic parameters</t>
  </si>
  <si>
    <t>-</t>
  </si>
  <si>
    <t>Year</t>
  </si>
  <si>
    <t>The normal life expectancy with subsistence food, no medical care and no industrialisation. This is used as the basis and is multiplied by other factors (e.g., effect of food, health, and climate risk) for computing the actual life expectency of the population.</t>
  </si>
  <si>
    <t>The reference fertility of reproductive fraction of population. This factor together with the size of fertile population and considering the repructive lifetime of each person generates  birth rate (person/year).</t>
  </si>
  <si>
    <t xml:space="preserve">The fraction of male to female in birth rate. </t>
  </si>
  <si>
    <t xml:space="preserve">A factor for rerpesenting what fraction of the change in the availability of labour force at each time step is participating in economy. </t>
  </si>
  <si>
    <t>Reference change in the fossil energy (coal, gas, oil) market share due to price competitiveness. This reference change is used in computing the actual change rate (1/year) of the fossil energy at each time step.</t>
  </si>
  <si>
    <t xml:space="preserve">Sensitivity of fossil energy price to supply and demand ratio, used in computing the effect of supply and demand variation on the fossil energy market price ($/mtoe). </t>
  </si>
  <si>
    <t>A factor used in computing the effect of growth in GWP on urban and industrial requirement and the expansion of urbanisation, impacting urban land per capita (ha/person).</t>
  </si>
  <si>
    <t>Percentage of male population in their related maturation age who are graduating from primary education (people/year).</t>
  </si>
  <si>
    <t>Percentage of female population in their related maturation age who are graduating from primary education (people/year).</t>
  </si>
  <si>
    <t>Percentage of female population in their related maturation age who are enrolling in the secondary education (person/year).</t>
  </si>
  <si>
    <t>Percentage of male population in their related maturation age who are enrolling in the secondary education (person/year).</t>
  </si>
  <si>
    <t>Percentage of male population in their related maturation age who are enrolling in the tertiary education (person/year).</t>
  </si>
  <si>
    <t>Percentage of female population in their related maturation age who are enrolling in the tertiary education (person/year).</t>
  </si>
  <si>
    <t>The capital elasticity of the economy output as a factor in computing the refernce economy output ($/year).</t>
  </si>
  <si>
    <t>Maximum reference energy demand per capita, which is used to limit the growth of energy demand within a resonable range.</t>
  </si>
  <si>
    <t>mtoe/(year*person)</t>
  </si>
  <si>
    <t>The absolute value of coal energy price elasticity of demand, which is used in computing the effect of price on market share, and then change in coal price (1/year).</t>
  </si>
  <si>
    <t>Relative productivity of investment in oil production as a multiplier of productivity of investment in oil exploration, used in computing the amount of fossil energy resources possible to be recovered per unit investment spent (toe/$).</t>
  </si>
  <si>
    <t>1/$</t>
  </si>
  <si>
    <t>Relative productivity of investment in coal exploration.</t>
  </si>
  <si>
    <t>toe/$</t>
  </si>
  <si>
    <t>Effectiveness of resources dedicated to gas recovery technology development.</t>
  </si>
  <si>
    <t>Effectiveness of resources dedicated to oil recovery technology development.</t>
  </si>
  <si>
    <t xml:space="preserve">A multiplier used in computing wind technology effectiveness in producing more energy per unit of area (kw/(m*m)). This factor represents the final value, in the gradual improvement of technology (with a ramp function) over a period. </t>
  </si>
  <si>
    <t xml:space="preserve">A multiplier used in computing solar technology effectiveness in the potential production of more solar energy per year (mtoe/year). This factor represents the final value, in the gradual improvement of technology (with a ramp function) over a period. </t>
  </si>
  <si>
    <t>Average time required to turn investments into concrete fossil energy discovery and recovery technology developments.</t>
  </si>
  <si>
    <t>year</t>
  </si>
  <si>
    <t>Percentage of total oil sector revenue dedicated to exploration and production technology development.</t>
  </si>
  <si>
    <t>Percentage of total coal sector revenue dedicated to exploration and production technology development.</t>
  </si>
  <si>
    <t>Percentage of total gas sector revenue dedicated to exploration and production technology development.</t>
  </si>
  <si>
    <t>Total area available for solar energy production capacities.</t>
  </si>
  <si>
    <t>m*m</t>
  </si>
  <si>
    <t>Time delay to make investments in fossil energy exploration and production effective.</t>
  </si>
  <si>
    <t>Potential coal resources that are not discovered yet.</t>
  </si>
  <si>
    <t>mtoe</t>
  </si>
  <si>
    <t>Upper level limit for unit cost of fossil energy exploration.</t>
  </si>
  <si>
    <t>$/mtoe</t>
  </si>
  <si>
    <t>A multiplier used in computing the annual recution in the reference unit cost of  biomass energy production per year ($/year). This factor represents the final value whose differnece with an  maximum value of (i.e., 5e+7) is used as the cost reduction over a period (the lower this factor, the more cost reduction).</t>
  </si>
  <si>
    <t>A multiplier used in computing the annual recution in the reference unit cost of  solar energy production per year ($/year). This factor represents the final value whose differnece with an  maximum value of (i.e., 40) is used as the cost reduction over a period (the lower this factor, the more cost reduction).</t>
  </si>
  <si>
    <t>A multiplier used in computing the annual reduction in the reference unit cost of  wind energy production per year ($/year). This factor represents the final value whose differnece with an  maximum value of (i.e., 12) is used as the cost reduction over a period (the lower this factor, the more cost reduction).</t>
  </si>
  <si>
    <t>The upper level of acceptable total carbon emission from fossil fuels.</t>
  </si>
  <si>
    <t>tonc/year</t>
  </si>
  <si>
    <t>Fraction of desired to intended agricultural land conversion (ha) from forest.</t>
  </si>
  <si>
    <t>Average time which natural transformation of Forest to Agriculture Land would take.</t>
  </si>
  <si>
    <t>A factor representing the reference productivity of gasslands used in computing tons of meat yield per ha of grassland (ton/(ha*year)).</t>
  </si>
  <si>
    <t>A factor representing the reference impact of technology advancement on agricultural land fertility, which together with other factors (e.g., effect of GWP growth, effect of management, fertalisation practices) are used in computing the actual impact of technology on agriculture and crop yield (ton/(ha*year)).</t>
  </si>
  <si>
    <t>Food demand (Popp et al.)</t>
  </si>
  <si>
    <t>Fossil fuel use (Bauer et al.)</t>
  </si>
  <si>
    <t>The absolute (non-negative) value of oil energy price elasticity of demand, which is used in computing the effect of price on market share, and then change in oil price (1/year).</t>
  </si>
  <si>
    <t>The absolute (non-negative) value of gas energy price elasticity of demand, which is used in computing the effect of price on market share, and then change in gas price (1/year).</t>
  </si>
  <si>
    <t>The absolute (non-negative) value of wind and solar energy price elasticity of demand, which is used in computing the effect of price on market share, and then change in wind and solar price (1/year).</t>
  </si>
  <si>
    <t>The absolute (non-negative) value of biomass energy price elasticity of demand, which is used in computing the effect of price on market share, and then change in biomass price (1/year).</t>
  </si>
  <si>
    <t>The general preference for status consumption in urban sprawl in combination with prosperous economic development creates a lifestyle with high energy service demand levels. Despite fast technological change, the market response to price change of renewable and fossil energies is relatively lower and higher than SSP1.</t>
  </si>
  <si>
    <t>All technologies develop at medium levels and along their past trajectories.</t>
  </si>
  <si>
    <t>With slow economic growth and low investments in technology R&amp;D, technological changes of fossil and renewable technologies are slow throughout the world.</t>
  </si>
  <si>
    <t>Fossil fuels availability is slightly higher than in SSP1 and the unit cost of exploration is also slightly lower. Therefore, due to more availability of fossil energy, the emissions remain at relatively moderate levels (compared to SSP1). Renewable energy technologies are deployed at low costs throughout the world as multinational energy corporations co-invest in R&amp;D and cost reduction as their hedging strategy against resource scarcity.</t>
  </si>
  <si>
    <t>Investment on education in developing countries focusing on developing human capital based on a small, highly educated elite at the expense of the broader public education.</t>
  </si>
  <si>
    <t>All energy technologies are socially acceptable at medium levels.</t>
  </si>
  <si>
    <t>Land use change is incompletely regulated. As a result, the  deforestation continues, but with a gradual decline over time.</t>
  </si>
  <si>
    <t xml:space="preserve">With little regulation in place, there is continued deforestation because of rapid agricultural expansion driven by regional rivalry and domestic food security, and regional conflicts. </t>
  </si>
  <si>
    <t xml:space="preserve">Land use change is incompletely regulated. Thus, deforestation continues, but at a slowly declining rate over time. </t>
  </si>
  <si>
    <t>Crop yields are rapidly increasing due to advancement of technology and enhanced production systems.</t>
  </si>
  <si>
    <t>Meat-eaters eat 'Flexitarian', vegetarians eat vegan (i.e., highly sustainable)</t>
  </si>
  <si>
    <t>Everyone is flexitarian from 2020 on (slight improvement from the current situation, but still on the same trend)</t>
  </si>
  <si>
    <t>The current reference meat and vegetarian diets (Highly unsustainable).</t>
  </si>
  <si>
    <t>Meat-eaters eat 'Healthy', vegetarians eat 'Reference' veg diet (i.e., relatively sustainable).</t>
  </si>
  <si>
    <t>Caloric consumption and animal calorie shares converge slowly towards high levels and food waste remains relatively unchanged.</t>
  </si>
  <si>
    <t>With a great increase in population, poor economic development, and minimum access to education, unhealthy diets with high animal shares and high food waste prevail.</t>
  </si>
  <si>
    <t>A factor representing changes in the meat diet composition and consequently impacting the average calorie intake in meat diet (kcal/(person*day)).</t>
  </si>
  <si>
    <t>The world average daily calorie intake.</t>
  </si>
  <si>
    <t>kcal/(person*day)</t>
  </si>
  <si>
    <t>The factor, which together with the effect of GWP on meat consumption, computes the fraction of people who shift from vegeterian diets to meat-based diets.</t>
  </si>
  <si>
    <t>1/year</t>
  </si>
  <si>
    <t>A multiplier for the waste fraction of food data to determine the actual fraction of food waste in computing annual calorie demand (mkcal/year).</t>
  </si>
  <si>
    <t>Correlation_Set1_Set3</t>
  </si>
  <si>
    <t>Number_of_top_parameters</t>
  </si>
  <si>
    <t>Correlation_Set1_Set2</t>
  </si>
  <si>
    <t xml:space="preserve">Fast economic growth is experienced across all countries (especially developing countries), although the economic development is tempered over time by achieving a balanced growth among well-being, equity, and sustainability. </t>
  </si>
  <si>
    <t>Land use is strongly regulated. As a result, the  deforestation rates are strongly reduced over time. This would be more in low-income, developing countries.</t>
  </si>
  <si>
    <t>Rapid improvement of the environmentally-friendly technologies in the land sector results in high crop yield, especially in  low- and medium-income countries, enabling them to catch up faster with high-income countries.</t>
  </si>
  <si>
    <t>Population growth is generally at a moderate level, with a faster growth in low-income countries, slowing population growth in middle-income countries, and very limited or aging population growth in more developed, high-income countries.</t>
  </si>
  <si>
    <t>Economic growth is moderate in general, following its historical patterns, with emerging economies experiencing a fast and a slowdown progress as their economies mature, low-income countries experiencing a relatively high growth, and high-income countries continuing to progress at their current moderate levels.</t>
  </si>
  <si>
    <t>All countries experience an extension of current trends in urbanisation, with the central urbanization pathway in various forms and patterns depending on their conditions and resources. While high-income countries continue their urban expansion trajectory, other medium- and low-income (developing) countries  follow the historical urbanisation experiences of the more developed countries.</t>
  </si>
  <si>
    <t>Service demand levels are intermediate (between SSP1 and SSP5 on a per capita level) and also energy intensity of services is moderate across all end-use sectors.</t>
  </si>
  <si>
    <t xml:space="preserve">Rates of crop yield decline slowly over time, but the crop yield gradually improves in low-income countries, which enable them to catch up with developed regions. </t>
  </si>
  <si>
    <t>Limited international cooperation, low investments in education (and therefore limited training of skilled labour force) and in technology R&amp;D result in a very slow economic growth with high inequalities across and within countries where the wealth is distributed unevenly.</t>
  </si>
  <si>
    <t>Because of relatively poor economic development, the maximum demand for energy services is limited. However, because of low environmental standards, poorly performing public infrastructure., and ineffective regulation, the energy intensity of services is medium to high leading to a medium to high final demand, and high price elasticity of demand for fossil energy (more desire to buy fossil fuel given that their price remains at an affordable level) and low price elasticity for renewable energy (no desire for renewable given that their technology development and price reduction are very slow), except for biomass.</t>
  </si>
  <si>
    <t xml:space="preserve">There is a high challenge to mitigation (less than SSP5) because of  high availability of fossil fuels. However, technological progress for fossil energy technologies is less and therefore the potential for cheap recovery and exploration of fossil fuels remains less than SSP5. </t>
  </si>
  <si>
    <t>Land use is highly regulated in high- and middle-income countries, but large deforestation still occurs in poor countries.</t>
  </si>
  <si>
    <t>Global population peaks and declines due to slowing of fertility rate in developing countries resulted from investment in education, health, and economic prosperity. In high-income countries, fertility can be above replacement due to optimistic economic futures.</t>
  </si>
  <si>
    <t>Education and consequently poverty are significantly improved with the support of development policies that eventually aim to accelerate human capital development. Resources for implementing these policies are the result of the rapid economic development.</t>
  </si>
  <si>
    <t>Market constraints (Bauer et al.)</t>
  </si>
  <si>
    <t>Environemtal concerns</t>
  </si>
  <si>
    <t>Food consumption (Popp et al.)</t>
  </si>
  <si>
    <t>Environmental Impact of food consumption (Popp et al.)</t>
  </si>
  <si>
    <t>Land-use change regulation (Popp et al.)</t>
  </si>
  <si>
    <t>Land productivity growth (Popp et al.)</t>
  </si>
  <si>
    <t>Food and diet change</t>
  </si>
  <si>
    <t xml:space="preserve">Population </t>
  </si>
  <si>
    <t>Food consumption and its environmental Impact (Popp et al.)</t>
  </si>
  <si>
    <t>Investments in human capital and education levels along with fast technological progress facilitate a demographic transition in currently high fertility countries towards a relatively low population. At the same time, the prosperous economic condition and healthy lifestyle  increase the average life expectancy of the population, especially in low-income, developing countries.</t>
  </si>
  <si>
    <t>Limited education opportunities and a very slow economy induce a fast global population growth, especially in developing countries when the socioeconomic conditions are worsening. At the same time, life expectancy in developing countries is short which to some extent can balance the high fertility, but it's not large enough to slow down the population growth.</t>
  </si>
  <si>
    <t>A general economic uncertainty in developed countries results in relatively low fertility and low population growth, and a moderate life expectancy. The low income countries, however, experience high population growth due to the limited education and low life expectancy due to poor socioeconomic conditions.</t>
  </si>
  <si>
    <t>Universal access to primary and secondary and promoting higher education levels are achieved across all countries, especially  in low-income countries, leading to poverty reduction and improvement of gender inequality.</t>
  </si>
  <si>
    <t>Some progress towards universal education is achieved, but the investments are not high enough to reduce the population growth in low-income countries.</t>
  </si>
  <si>
    <t>Very limited investments in education, especially in tertiary education, leads to poor populations in low-income countries with limited economic opportunities, working as a vicious cycle worsening gender inequality and increasing the population growth.</t>
  </si>
  <si>
    <t>The economy within and across countries works based on a high-tech, knowledge-based sector for highly educated labour force, and a low-tech, labour-intensive sector for a major part of the global population. This results in high- to middle-income (developed) countries to experience a moderate economic growth while low-income developing countries lag behind.</t>
  </si>
  <si>
    <t>The globalised economies supported by a high level of international trade and cooperation result in a fast economic growth among countries. However, the growth is so much focused on consumerism and resource-intensive consumption.</t>
  </si>
  <si>
    <t>Along with economic development and increase in GDP across all countries, the rural population is attracted to urban centres. Urbanisation (shared/concentrated resources) also grows fast for environmental reasons. Thus, with cities as attractive destinations, the growth of GWP correlates with the acquisition of more lands  for city expansion, while minimising the environmental impacts.</t>
  </si>
  <si>
    <t>Slow GDP growth along with strict measures on international migration, and poor urban planning make cities unattractive. The rapid population growth along with slow socioeconomic development, and environmental degradation also limit the mobility of the poor rural population. Thus,  developments have limited impact on  the expansion of cities and the acquisition of required lands for urban and industrial activities.</t>
  </si>
  <si>
    <t>In a divided world, the cities in high-income countries with high living standards become attractive for migration. However, the aging (low fertility) in high-income countries limit internal rural-to-urban migration at a moderate level, contributing to a slow city expansion. On the other hand, low-income countries with their rapidly growing rural populations, exposed by limited areas of arable land, high population pressure, and limited job availability due to large scale mechanised farming by international agricultural firms, experience a significant migration to urban areas, although those migrants in the poor socioeconomic conditions do not still have many opportunities.</t>
  </si>
  <si>
    <t>Many large scale engineering projects for the expansion of cities take place, supported by rapid technological progress and fast economic growth. However, the urban development is more in form of extensive man-made environments leading to urban sprawl with rather comfortable living conditions with high environmental footprints.</t>
  </si>
  <si>
    <t>A sustainable development with rapid economic growth and fast urbanisation  across the world, especially in developing, low-income countries creates political determinism / market interest to rapidly phase out fossil fuel use and to reduce the supporting measures for hedging fuel price volatility due to supply-demand variation.</t>
  </si>
  <si>
    <t xml:space="preserve">While significant progress with solving the energy access and moving away from fossil fuels is achieved, some issues still persist which keep the traditional fuel use at its current trajectory. </t>
  </si>
  <si>
    <t xml:space="preserve">Given the slow economic development and limited technology advancement, a continued reliance on traditional fuels especially in low-income with large rural communities is unavoidable. The price sensitivity to supply-demand balance remains limited as there is no other practical alternative for fossil fuels and governments have to maintain the price volatility in a limited range through domestic policies towards energy security and lax regulations which leads to the abundance of fossil energies. </t>
  </si>
  <si>
    <t>Countries with a large population of low-income communities remain highly dependent on fossil fuel,  given the divided income distributions. The price sensitivity to supply-demand balance also remains limited as governments have to maintain the price volatility in a limited range with subsidies. However, developed, high-income countries have more interest and resource to transition from fossil fuels in their market, and their fuel price sensitivity remain at a moderate level.</t>
  </si>
  <si>
    <t>Despite fast economic development, the reliance on fossil fuel as the cheap source of energy remains relatively higher than SSP1 in all countries (less preference to phase out fossil energy), and the governments also continue their fuel subsidies to maintain the price low (low price sensitivity for end users) for boosting the economy.</t>
  </si>
  <si>
    <t>Lifestyle and environmental awareness (Bauer et al.)</t>
  </si>
  <si>
    <t xml:space="preserve">Fast economic growth along with city development increases the overall energy use of the population. However, environmental consciousness and sustainable development goals along with the efficient end-use technologies lead to a transition to low energy intensity of services. This creates a high desire to adopt non-bio renewable energies (wind and solar) in response to their steeped cost reduction (high price elasticity) resulted from technological progress and low desire to respond to use fossil energy, even with a very low price. The price elasticity of demand to biomass remain at a moderate level (less than wind and solar) due to concerns about its environmental impacts on land. </t>
  </si>
  <si>
    <t xml:space="preserve">High-income countries show a modest per capita energy service demand as a result of a divided society in which the majority has modest incomes, but more importantly in response to strong regulation (energy taxes). The latter also lead to incentives for reaching low energy intensity of services fuelled by (non-biomass) renewable energies. In contrast, the desire for meeting the energy demand from (non-biomass) renewable sources is low in low-income countries while there is more preference for fossil energy and biomass. Similar to SSP3, poor economic development in low-income countries lead to a limited maximum demand for energy services per capita. However, inefficient technologies along with high population leads to high final energy demand. </t>
  </si>
  <si>
    <t>In a world with rapid technological change toward environmental friendly processes, wind and solar energy technologies improve rapidly. The effectiveness of investments on fossil energy technologies is however moderate due to strict environmental regulations.</t>
  </si>
  <si>
    <t>Technological development is fast for wind and solar in high-income countries and slow in low-income regions due to slower economic growth. The effectiveness of investment in fossil fuels remains at a moderate level in all countries.</t>
  </si>
  <si>
    <t>Fast technological development enhances the effectiveness and productivity of investment in fossil energy. There is modest but continued progress in wind and solar technologies due to the rapid economic growth and the expansion of renewable energy-related industries.</t>
  </si>
  <si>
    <t>Renewable energies especially solar which is experiencing a rapid growth (and is not like wind, close to its maximum capacity)  have a high social acceptability (e.g., more land availability for solar technologies installation). However, all fossil energy technologies experience low social acceptance leading to less investment of the revenue achieved from fossil energies in the improvement of same fossil sector and long delay for approving intended investment (due to environmental regulations).</t>
  </si>
  <si>
    <t>Due to the dominance of local energy security goals and less concerns over global environmental issues, social acceptance for investment in fossil energy is high. However, renewable energies such as solar become less socially acceptable because of their limited costs reduction and technological advancement (e.g., facing more challenges in acquiring land for solar installation).</t>
  </si>
  <si>
    <t>Social acceptance regarding energy sector (fossil and renewable) investments is generally higher in low-income countries due to their poor energy access condition and vulnerability to resource scarcity. Medium- to high-income countries also have a similar social acceptance for renewables, but fossil energy  social acceptance remains weak due to presence of price competitive renewable alternatives.  The delay in fossil investment in both country groups is high (in low-income regions due to ineffective regulations and the limitation on availability of domestic investors).</t>
  </si>
  <si>
    <t>Because of the strong preference for rapid conventional development, the world depends significantly on fossil energy and does not actively invest in alternative energy sources. This leads to high social acceptance for investment in fossil energy technologies low social acceptance for renewable energy.</t>
  </si>
  <si>
    <t>Market and environmental  constraints (Bauer et al.)</t>
  </si>
  <si>
    <t>The fast technological development and the strong acceptability of renewable energies lead to low reference cost for renewable technologies. Also, tight policies on emissions from fossil fuels  limit the supply and production and increase the recovery and exploration costs of fossil fuels. This is consistent with low availability of fossil fuel resources and the weak social acceptability for investment in their respective sector.</t>
  </si>
  <si>
    <t>The availability of fossil fuels, emissions reduction, and the cost reduction in renewable energy production follow a business-as-usual trajectory.</t>
  </si>
  <si>
    <t>There is a high challenge to mitigation, resulted from a very high availability of fossil fuels, no significant reduction (compared to SSP2) in renewable energy costs, and consequently, a higher acceptable baseline for emissions from fossil energy sector.</t>
  </si>
  <si>
    <t>Limited international collaborations for technology transfer in low-income countries, slow economic growth and availability of resources, and lack of required knowledge result in a strong decline in crop yield over time.</t>
  </si>
  <si>
    <t>High-income countries supported by large-scale industrial farming can realise high crop yield whereas low-income countries with local and inefficient farming practices remain relatively unproductive in agriculture.</t>
  </si>
  <si>
    <t>With a universal education, especially at tertiary levels and low population growth, healthy diets with low animal-calorie shares prevail and the food waste drops significantly, driven by environmental consciousness.</t>
  </si>
  <si>
    <t xml:space="preserve">Caloric consumption and animal calorie shares converge towards medium levels, while the shift to healthy diets is stronger in high-income countries because of higher education level and improved lifestyle. </t>
  </si>
  <si>
    <t xml:space="preserve">High-income countries experience meat-rich and unhealthy diets, and  high waste prevail resulted from rapid economic growth and consumerism. </t>
  </si>
  <si>
    <t>Birth Gender Fraction</t>
  </si>
  <si>
    <t>Normal Fertility</t>
  </si>
  <si>
    <t>Life Expectancy Normal</t>
  </si>
  <si>
    <t>Primary Education Percentage m</t>
  </si>
  <si>
    <t>Primary Education Percentage f</t>
  </si>
  <si>
    <t>Secondary Education Percentage m</t>
  </si>
  <si>
    <t>Secondary Education Percentage f</t>
  </si>
  <si>
    <t>Tertiary Education Percentage m</t>
  </si>
  <si>
    <t>Tertiary Education Percentage f</t>
  </si>
  <si>
    <t>Capital Elasticity Output</t>
  </si>
  <si>
    <t>Labor Force Participation Fraction</t>
  </si>
  <si>
    <t>Effect of GDP on Urban Land Requirement l</t>
  </si>
  <si>
    <t>Effect of GDP on Urban Land Requirement x0</t>
  </si>
  <si>
    <t>Reference Change in Fossil Fuel Market Share</t>
  </si>
  <si>
    <t>Sensitivity of Fossil Fuel Price to Supply and Demand</t>
  </si>
  <si>
    <t>Max Energy Demand per Capita</t>
  </si>
  <si>
    <t>Price Elasticity of Demand Oil</t>
  </si>
  <si>
    <t>Price Elasticity of Demand Gas</t>
  </si>
  <si>
    <t>Price Elasticity of Demand Coal</t>
  </si>
  <si>
    <t>Price Elasticity of Demand Wind and Solar</t>
  </si>
  <si>
    <t>Price Elasticity of Demand Biomass</t>
  </si>
  <si>
    <t>Relative Productivity of Investment in Fossil Fuel Production Compared to Exploration</t>
  </si>
  <si>
    <t>Relative Productivity of Investment in Coal Exploration</t>
  </si>
  <si>
    <t>Effectiveness of Investment in Gas Recovery Technology</t>
  </si>
  <si>
    <t>Effectiveness of Investment in Oil Recovery Technology</t>
  </si>
  <si>
    <t>Average Wind Capacity per SqMeter Final Change Rate</t>
  </si>
  <si>
    <t>Solar Conversion Efficiency Factor Final Change Rate</t>
  </si>
  <si>
    <t>Fossil Fuel Discovery and Recovery Technology Development Time</t>
  </si>
  <si>
    <t>Fraction of Oil Revenues Invested in Technology</t>
  </si>
  <si>
    <t>Fraction of Gas Revenues Invested in Technology</t>
  </si>
  <si>
    <t>Fraction of Coal Revenues Invested in Technology</t>
  </si>
  <si>
    <t>Solar Available Area</t>
  </si>
  <si>
    <t>Investment in Fossil Fuel Exploration and Production Delay</t>
  </si>
  <si>
    <t>Undiscovered Coal Resources</t>
  </si>
  <si>
    <t>Max Unit Cost of Fossil Fuel Exploration</t>
  </si>
  <si>
    <t>Reference Cost of Wind Energy Production Final Change Rate</t>
  </si>
  <si>
    <t>Reference Cost of Solar Energy Production Final Change Rate</t>
  </si>
  <si>
    <t>Reference Cost of Biomass Energy Production Final Change Rate</t>
  </si>
  <si>
    <t>Desired Total C Emission from Fossil Fuels</t>
  </si>
  <si>
    <t>Fraction of Agricultural Land Conversion from Forest</t>
  </si>
  <si>
    <t>Forest to Agriculture Land Allocation Time</t>
  </si>
  <si>
    <t>Reference meat yield</t>
  </si>
  <si>
    <t>Reference Input Neutral TC in Agriculture</t>
  </si>
  <si>
    <t>Waste Fraction EggsDairy</t>
  </si>
  <si>
    <t>Waste Fraction PlantFood</t>
  </si>
  <si>
    <t>Reference Daily Caloric Intake</t>
  </si>
  <si>
    <t>Normal Shift Fraction from Vegetarianism to Meat</t>
  </si>
  <si>
    <t>Diet Composition</t>
  </si>
  <si>
    <t xml:space="preserve">Education </t>
  </si>
  <si>
    <t xml:space="preserve">Urbanisation </t>
  </si>
  <si>
    <t xml:space="preserve">Fossil fuel use </t>
  </si>
  <si>
    <t xml:space="preserve">Lifestyle and environemtal awareness </t>
  </si>
  <si>
    <t xml:space="preserve">Technological development </t>
  </si>
  <si>
    <t xml:space="preserve">Social acceptance </t>
  </si>
  <si>
    <t xml:space="preserve">Market constraints </t>
  </si>
  <si>
    <t xml:space="preserve">Land-use change regulation </t>
  </si>
  <si>
    <t xml:space="preserve">Land productivity growth </t>
  </si>
  <si>
    <t xml:space="preserve">Food consumption </t>
  </si>
  <si>
    <t>Food consumption</t>
  </si>
  <si>
    <t>Land productivity growth</t>
  </si>
  <si>
    <t>Land-use change regulation</t>
  </si>
  <si>
    <t>Market constraints</t>
  </si>
  <si>
    <t>Social acceptance</t>
  </si>
  <si>
    <t>Technological development</t>
  </si>
  <si>
    <t>Lifestyle and environemtal awareness</t>
  </si>
  <si>
    <t>Fossil fuel use</t>
  </si>
  <si>
    <r>
      <t>1/year</t>
    </r>
    <r>
      <rPr>
        <vertAlign val="superscript"/>
        <sz val="9"/>
        <color rgb="FF000000"/>
        <rFont val="Times New Roman"/>
        <family val="1"/>
      </rPr>
      <t>2</t>
    </r>
  </si>
  <si>
    <t>The capital elasticity of the economy output as a factor in computing the reference economy output ($/year).</t>
  </si>
  <si>
    <t xml:space="preserve">A factor for representing what fraction of the change in the availability of labour force at each time step is participating in economy. </t>
  </si>
  <si>
    <t>The reference fertility of reproductive fraction of population. This factor together with the size of fertile population and considering the refractive lifetime of each person generates  birth rate (person/year).</t>
  </si>
  <si>
    <t>The normal life expectancy with subsistence food, no medical care and no industrialisation. This is used as the basis and is multiplied by other factors (e.g., effect of food, health, and climate risk) for computing the actual life expectancy of the population.</t>
  </si>
  <si>
    <t>Maximum reference energy demand per capita, which is used to limit the growth of energy demand within a reasonable range.</t>
  </si>
  <si>
    <t>A multiplier used in computing the annual reduction in the reference unit cost of  wind energy production per year ($/year). This factor represents the final value whose difference with an  maximum value of (i.e., 12) is used as the cost reduction over a period (the lower this factor, the more cost reduction).</t>
  </si>
  <si>
    <t>A multiplier used in computing the annual reduction in the reference unit cost of  solar energy production per year ($/year). This factor represents the final value whose difference with an  maximum value of (i.e., 40) is used as the cost reduction over a period (the lower this factor, the more cost reduction).</t>
  </si>
  <si>
    <t>A multiplier used in computing the annual reduction in the reference unit cost of  biomass energy production per year ($/year). This factor represents the final value whose difference with an  maximum value of (i.e., 5e+7) is used as the cost reduction over a period (the lower this factor, the more cost reduction).</t>
  </si>
  <si>
    <t>A factor representing the reference productivity of grasslands used in computing tons of meat yield per ha of grassland (ton/(ha*year)).</t>
  </si>
  <si>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</si>
  <si>
    <t>The factor, which together with the effect of GWP on meat consumption, computes the fraction of people who shift from vegetarian diets to meat-based diets.</t>
  </si>
  <si>
    <t>Uncertain model parameter</t>
  </si>
  <si>
    <t>Unit</t>
  </si>
  <si>
    <t>HIC</t>
  </si>
  <si>
    <t>LIC</t>
  </si>
  <si>
    <t>dmnl</t>
  </si>
  <si>
    <r>
      <t>-</t>
    </r>
    <r>
      <rPr>
        <sz val="7"/>
        <color rgb="FF000000"/>
        <rFont val="Times New Roman"/>
        <family val="1"/>
      </rPr>
      <t xml:space="preserve"> </t>
    </r>
    <r>
      <rPr>
        <sz val="9"/>
        <color rgb="FF000000"/>
        <rFont val="Times New Roman"/>
        <family val="1"/>
      </rPr>
      <t>Relative productivity of investment in oil production as a multiplier of productivity of investment in oil exploration, used in computing the amount of fossil energy resources possible to be recovered per unit investment spent (toe/$).</t>
    </r>
  </si>
  <si>
    <r>
      <t>-</t>
    </r>
    <r>
      <rPr>
        <sz val="7"/>
        <color rgb="FF000000"/>
        <rFont val="Times New Roman"/>
        <family val="1"/>
      </rPr>
      <t xml:space="preserve"> </t>
    </r>
    <r>
      <rPr>
        <sz val="9"/>
        <color rgb="FF000000"/>
        <rFont val="Times New Roman"/>
        <family val="1"/>
      </rPr>
      <t>Relative productivity of investment in coal exploration.</t>
    </r>
  </si>
  <si>
    <r>
      <t>-</t>
    </r>
    <r>
      <rPr>
        <sz val="7"/>
        <color rgb="FF000000"/>
        <rFont val="Times New Roman"/>
        <family val="1"/>
      </rPr>
      <t xml:space="preserve"> </t>
    </r>
    <r>
      <rPr>
        <sz val="9"/>
        <color rgb="FF000000"/>
        <rFont val="Times New Roman"/>
        <family val="1"/>
      </rPr>
      <t>Effectiveness of resources dedicated to gas recovery technology development.</t>
    </r>
  </si>
  <si>
    <r>
      <t>-</t>
    </r>
    <r>
      <rPr>
        <sz val="7"/>
        <color rgb="FF000000"/>
        <rFont val="Times New Roman"/>
        <family val="1"/>
      </rPr>
      <t xml:space="preserve"> </t>
    </r>
    <r>
      <rPr>
        <sz val="9"/>
        <color rgb="FF000000"/>
        <rFont val="Times New Roman"/>
        <family val="1"/>
      </rPr>
      <t>Effectiveness of resources dedicated to oil recovery technology development.</t>
    </r>
  </si>
  <si>
    <r>
      <t>-</t>
    </r>
    <r>
      <rPr>
        <sz val="7"/>
        <color rgb="FF000000"/>
        <rFont val="Times New Roman"/>
        <family val="1"/>
      </rPr>
      <t xml:space="preserve"> </t>
    </r>
    <r>
      <rPr>
        <sz val="9"/>
        <color rgb="FF000000"/>
        <rFont val="Times New Roman"/>
        <family val="1"/>
      </rPr>
      <t xml:space="preserve">A multiplier used in computing wind technology effectiveness in producing more energy per unit of area (kw/(m2)).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</si>
  <si>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 xml:space="preserve">A multiplier used in computing solar technology effectiveness in the potential production of more solar energy per year (mtoe/year). This factor represents the final value, in the gradual improvement of technology (with a ramp function) over a period. </t>
    </r>
  </si>
  <si>
    <r>
      <t>-</t>
    </r>
    <r>
      <rPr>
        <sz val="7"/>
        <color rgb="FF000000"/>
        <rFont val="Times New Roman"/>
        <family val="1"/>
      </rPr>
      <t xml:space="preserve"> </t>
    </r>
    <r>
      <rPr>
        <sz val="9"/>
        <color rgb="FF000000"/>
        <rFont val="Times New Roman"/>
        <family val="1"/>
      </rPr>
      <t>Percentage of total oil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</si>
  <si>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gas sector revenue dedicated to exploration and production technology development.</t>
    </r>
  </si>
  <si>
    <r>
      <t>-</t>
    </r>
    <r>
      <rPr>
        <sz val="7"/>
        <color rgb="FF000000"/>
        <rFont val="Times New Roman"/>
        <family val="1"/>
      </rPr>
      <t xml:space="preserve"> </t>
    </r>
    <r>
      <rPr>
        <sz val="9"/>
        <color rgb="FF000000"/>
        <rFont val="Times New Roman"/>
        <family val="1"/>
      </rPr>
      <t>Percentage of total coal sector revenue dedicated to exploration and production technology development.</t>
    </r>
  </si>
  <si>
    <r>
      <t>m</t>
    </r>
    <r>
      <rPr>
        <vertAlign val="superscript"/>
        <sz val="9"/>
        <color rgb="FF000000"/>
        <rFont val="Times New Roman"/>
        <family val="1"/>
      </rPr>
      <t>2</t>
    </r>
  </si>
  <si>
    <r>
      <t>-</t>
    </r>
    <r>
      <rPr>
        <sz val="7"/>
        <color rgb="FF000000"/>
        <rFont val="Times New Roman"/>
        <family val="1"/>
      </rPr>
      <t xml:space="preserve"> </t>
    </r>
    <r>
      <rPr>
        <sz val="9"/>
        <color rgb="FF000000"/>
        <rFont val="Times New Roman"/>
        <family val="1"/>
      </rPr>
      <t>Total area available for solar energy production capacities.</t>
    </r>
  </si>
  <si>
    <r>
      <t>-</t>
    </r>
    <r>
      <rPr>
        <sz val="7"/>
        <color rgb="FF000000"/>
        <rFont val="Times New Roman"/>
        <family val="1"/>
      </rPr>
      <t xml:space="preserve"> </t>
    </r>
    <r>
      <rPr>
        <sz val="9"/>
        <color rgb="FF000000"/>
        <rFont val="Times New Roman"/>
        <family val="1"/>
      </rPr>
      <t>Time delay to make investments in fossil energy exploration and production effective.</t>
    </r>
  </si>
  <si>
    <t>Market constraints and environmental concerns</t>
  </si>
  <si>
    <r>
      <t>-</t>
    </r>
    <r>
      <rPr>
        <sz val="7"/>
        <color rgb="FF000000"/>
        <rFont val="Times New Roman"/>
        <family val="1"/>
      </rPr>
      <t xml:space="preserve"> </t>
    </r>
    <r>
      <rPr>
        <sz val="9"/>
        <color rgb="FF000000"/>
        <rFont val="Times New Roman"/>
        <family val="1"/>
      </rPr>
      <t>Potential coal resources that are not discovered yet.</t>
    </r>
  </si>
  <si>
    <r>
      <t>-</t>
    </r>
    <r>
      <rPr>
        <sz val="7"/>
        <color rgb="FF000000"/>
        <rFont val="Times New Roman"/>
        <family val="1"/>
      </rPr>
      <t xml:space="preserve"> </t>
    </r>
    <r>
      <rPr>
        <sz val="9"/>
        <color rgb="FF000000"/>
        <rFont val="Times New Roman"/>
        <family val="1"/>
      </rPr>
      <t>Upper level limit for unit cost of fossil energy exploration.</t>
    </r>
  </si>
  <si>
    <r>
      <t>-</t>
    </r>
    <r>
      <rPr>
        <sz val="7"/>
        <color rgb="FF000000"/>
        <rFont val="Times New Roman"/>
        <family val="1"/>
      </rPr>
      <t xml:space="preserve"> </t>
    </r>
    <r>
      <rPr>
        <sz val="9"/>
        <color rgb="FF000000"/>
        <rFont val="Times New Roman"/>
        <family val="1"/>
      </rPr>
      <t>A multiplier used in computing the annual reduction in the reference unit cost of wind energy production per year ($/year). This factor represents the final value whose difference with a maximum value of (i.e., 12)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</si>
  <si>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solar energy production per year ($/year). This factor represents the final value whose difference with a maximum value of (i.e., 40) is used as the cost reduction over a period.</t>
    </r>
  </si>
  <si>
    <r>
      <t>-</t>
    </r>
    <r>
      <rPr>
        <sz val="7"/>
        <color rgb="FF000000"/>
        <rFont val="Times New Roman"/>
        <family val="1"/>
      </rPr>
      <t xml:space="preserve"> </t>
    </r>
    <r>
      <rPr>
        <sz val="9"/>
        <color rgb="FF000000"/>
        <rFont val="Times New Roman"/>
        <family val="1"/>
      </rPr>
      <t>A multiplier used in computing the annual reduction in the reference unit cost of biomass energy production per year ($/year). This factor represents the final value whose difference with a maximum value (i.e., 5e+7) is used as the cost reduction over a period</t>
    </r>
  </si>
  <si>
    <r>
      <t>-</t>
    </r>
    <r>
      <rPr>
        <sz val="7"/>
        <rFont val="Times New Roman"/>
        <family val="1"/>
      </rPr>
      <t xml:space="preserve"> </t>
    </r>
    <r>
      <rPr>
        <sz val="9"/>
        <color rgb="FF000000"/>
        <rFont val="Times New Roman"/>
        <family val="1"/>
      </rPr>
      <t xml:space="preserve">The fraction of male to female in birth rate. </t>
    </r>
  </si>
  <si>
    <r>
      <t>-</t>
    </r>
    <r>
      <rPr>
        <sz val="7"/>
        <rFont val="Times New Roman"/>
        <family val="1"/>
      </rPr>
      <t xml:space="preserve"> </t>
    </r>
    <r>
      <rPr>
        <sz val="9"/>
        <color rgb="FF000000"/>
        <rFont val="Times New Roman"/>
        <family val="1"/>
      </rPr>
      <t>The reference fertility of reproductive fraction of population. This factor together with the size of fertile population and considering the refractive lifetime of each person generates birth rate (person/year).</t>
    </r>
  </si>
  <si>
    <r>
      <t>-</t>
    </r>
    <r>
      <rPr>
        <sz val="7"/>
        <rFont val="Times New Roman"/>
        <family val="1"/>
      </rPr>
      <t xml:space="preserve"> </t>
    </r>
    <r>
      <rPr>
        <sz val="9"/>
        <color rgb="FF000000"/>
        <rFont val="Times New Roman"/>
        <family val="1"/>
      </rPr>
      <t>The normal life expectancy with subsistence food, no medical care and no industrialisation. This is used as the basis and is multiplied by other factors (e.g., effect of food, health, and climate risk) for computing the actual life expectancy of the population.</t>
    </r>
  </si>
  <si>
    <r>
      <t>-</t>
    </r>
    <r>
      <rPr>
        <sz val="7"/>
        <rFont val="Times New Roman"/>
        <family val="1"/>
      </rPr>
      <t xml:space="preserve"> </t>
    </r>
    <r>
      <rPr>
        <sz val="9"/>
        <color rgb="FF000000"/>
        <rFont val="Times New Roman"/>
        <family val="1"/>
      </rPr>
      <t>Percentage of male population in their related maturation age who are graduating from primary education (people/year).</t>
    </r>
  </si>
  <si>
    <r>
      <t>-</t>
    </r>
    <r>
      <rPr>
        <sz val="7"/>
        <rFont val="Times New Roman"/>
        <family val="1"/>
      </rPr>
      <t xml:space="preserve"> </t>
    </r>
    <r>
      <rPr>
        <sz val="9"/>
        <color rgb="FF000000"/>
        <rFont val="Times New Roman"/>
        <family val="1"/>
      </rPr>
      <t>Percentage of female population in their related maturation age who are graduating from primary education (people/year).</t>
    </r>
  </si>
  <si>
    <t xml:space="preserve">Secondary Education Percentage m </t>
  </si>
  <si>
    <r>
      <t>-</t>
    </r>
    <r>
      <rPr>
        <sz val="7"/>
        <rFont val="Times New Roman"/>
        <family val="1"/>
      </rPr>
      <t xml:space="preserve"> </t>
    </r>
    <r>
      <rPr>
        <sz val="9"/>
        <color rgb="FF000000"/>
        <rFont val="Times New Roman"/>
        <family val="1"/>
      </rPr>
      <t>Percentage of male population in their related maturation age who are enrolling in the secondary education (person/year).</t>
    </r>
  </si>
  <si>
    <t xml:space="preserve">Secondary Education Percentage f </t>
  </si>
  <si>
    <r>
      <t>-</t>
    </r>
    <r>
      <rPr>
        <sz val="7"/>
        <rFont val="Times New Roman"/>
        <family val="1"/>
      </rPr>
      <t xml:space="preserve"> </t>
    </r>
    <r>
      <rPr>
        <sz val="9"/>
        <color rgb="FF000000"/>
        <rFont val="Times New Roman"/>
        <family val="1"/>
      </rPr>
      <t>Percentage of female population in their related maturation age who are enrolling in the secondary education (person/year).</t>
    </r>
  </si>
  <si>
    <r>
      <t>-</t>
    </r>
    <r>
      <rPr>
        <sz val="7"/>
        <rFont val="Times New Roman"/>
        <family val="1"/>
      </rPr>
      <t xml:space="preserve"> </t>
    </r>
    <r>
      <rPr>
        <sz val="9"/>
        <color rgb="FF000000"/>
        <rFont val="Times New Roman"/>
        <family val="1"/>
      </rPr>
      <t>Percentage of male population in their related maturation age who are enrolling in the tertiary education (person/year).</t>
    </r>
  </si>
  <si>
    <r>
      <t>-</t>
    </r>
    <r>
      <rPr>
        <sz val="7"/>
        <rFont val="Times New Roman"/>
        <family val="1"/>
      </rPr>
      <t xml:space="preserve"> </t>
    </r>
    <r>
      <rPr>
        <sz val="9"/>
        <color rgb="FF000000"/>
        <rFont val="Times New Roman"/>
        <family val="1"/>
      </rPr>
      <t>Percentage of female population in their related maturation age who are enrolling in the tertiary education (person/year).</t>
    </r>
  </si>
  <si>
    <r>
      <t>-</t>
    </r>
    <r>
      <rPr>
        <sz val="7"/>
        <rFont val="Times New Roman"/>
        <family val="1"/>
      </rPr>
      <t xml:space="preserve"> </t>
    </r>
    <r>
      <rPr>
        <sz val="9"/>
        <color rgb="FF000000"/>
        <rFont val="Times New Roman"/>
        <family val="1"/>
      </rPr>
      <t>The capital elasticity of the economy output as a factor in computing the reference economy output ($/year).</t>
    </r>
  </si>
  <si>
    <r>
      <t>-</t>
    </r>
    <r>
      <rPr>
        <sz val="7"/>
        <rFont val="Times New Roman"/>
        <family val="1"/>
      </rPr>
      <t xml:space="preserve"> </t>
    </r>
    <r>
      <rPr>
        <sz val="9"/>
        <color rgb="FF000000"/>
        <rFont val="Times New Roman"/>
        <family val="1"/>
      </rPr>
      <t xml:space="preserve">A factor for representing what fraction of the change in the availability of labour force at each time step is participating in economy. </t>
    </r>
  </si>
  <si>
    <r>
      <t>-</t>
    </r>
    <r>
      <rPr>
        <sz val="7"/>
        <rFont val="Times New Roman"/>
        <family val="1"/>
      </rPr>
      <t xml:space="preserve"> </t>
    </r>
    <r>
      <rPr>
        <sz val="9"/>
        <color rgb="FF000000"/>
        <rFont val="Times New Roman"/>
        <family val="1"/>
      </rPr>
      <t>A factor used in computing the effect of growth in GWP on urban and industrial requirement and the expansion of urbanisation, impacting urban land per capita (ha/person).</t>
    </r>
  </si>
  <si>
    <r>
      <t>-</t>
    </r>
    <r>
      <rPr>
        <sz val="7"/>
        <color rgb="FF000000"/>
        <rFont val="Times New Roman"/>
        <family val="1"/>
      </rPr>
      <t xml:space="preserve"> </t>
    </r>
    <r>
      <rPr>
        <sz val="9"/>
        <color rgb="FF000000"/>
        <rFont val="Times New Roman"/>
        <family val="1"/>
      </rPr>
      <t>Reference change in the fossil energy (coal, gas, oil) market share due to price competitiveness. This reference change is used in computing the actual change rate (1/year) of the fossil energy at each time step.</t>
    </r>
  </si>
  <si>
    <r>
      <t>-</t>
    </r>
    <r>
      <rPr>
        <sz val="7"/>
        <color rgb="FF000000"/>
        <rFont val="Times New Roman"/>
        <family val="1"/>
      </rPr>
      <t xml:space="preserve"> </t>
    </r>
    <r>
      <rPr>
        <sz val="9"/>
        <color rgb="FF000000"/>
        <rFont val="Times New Roman"/>
        <family val="1"/>
      </rPr>
      <t xml:space="preserve">Sensitivity of fossil energy price to supply and demand ratio, used in computing the effect of supply and demand variation on the fossil energy market price ($/mtoe). </t>
    </r>
  </si>
  <si>
    <t>Lifestyle and environmental awareness</t>
  </si>
  <si>
    <r>
      <t>-</t>
    </r>
    <r>
      <rPr>
        <sz val="7"/>
        <color rgb="FF000000"/>
        <rFont val="Times New Roman"/>
        <family val="1"/>
      </rPr>
      <t xml:space="preserve"> </t>
    </r>
    <r>
      <rPr>
        <sz val="9"/>
        <color rgb="FF000000"/>
        <rFont val="Times New Roman"/>
        <family val="1"/>
      </rPr>
      <t>Maximum reference energy demand per capita, used to limit the growth of energy demand within a reasonable range.</t>
    </r>
  </si>
  <si>
    <r>
      <t>-</t>
    </r>
    <r>
      <rPr>
        <sz val="7"/>
        <color rgb="FF000000"/>
        <rFont val="Times New Roman"/>
        <family val="1"/>
      </rPr>
      <t xml:space="preserve"> </t>
    </r>
    <r>
      <rPr>
        <sz val="9"/>
        <color rgb="FF000000"/>
        <rFont val="Times New Roman"/>
        <family val="1"/>
      </rPr>
      <t>The absolute (non-negative) value of oil energy price elasticity of demand, used in computing the effect of price on market share, and then change in oil price (1/year).</t>
    </r>
  </si>
  <si>
    <r>
      <t>-</t>
    </r>
    <r>
      <rPr>
        <sz val="7"/>
        <color rgb="FF000000"/>
        <rFont val="Times New Roman"/>
        <family val="1"/>
      </rPr>
      <t xml:space="preserve"> </t>
    </r>
    <r>
      <rPr>
        <sz val="9"/>
        <color rgb="FF000000"/>
        <rFont val="Times New Roman"/>
        <family val="1"/>
      </rPr>
      <t>The absolute (non-negative) value of gas energy price elasticity of demand, used in computing the effect of price on market share, and then change in gas price (1/year).</t>
    </r>
  </si>
  <si>
    <r>
      <t>-</t>
    </r>
    <r>
      <rPr>
        <sz val="7"/>
        <color rgb="FF000000"/>
        <rFont val="Times New Roman"/>
        <family val="1"/>
      </rPr>
      <t xml:space="preserve"> </t>
    </r>
    <r>
      <rPr>
        <sz val="9"/>
        <color rgb="FF000000"/>
        <rFont val="Times New Roman"/>
        <family val="1"/>
      </rPr>
      <t>The absolute value of coal energy price elasticity of demand, used in computing the effect of price on market share, and then change in coal price (1/year).</t>
    </r>
  </si>
  <si>
    <r>
      <t>-</t>
    </r>
    <r>
      <rPr>
        <sz val="7"/>
        <color rgb="FF000000"/>
        <rFont val="Times New Roman"/>
        <family val="1"/>
      </rPr>
      <t xml:space="preserve"> </t>
    </r>
    <r>
      <rPr>
        <sz val="9"/>
        <color rgb="FF000000"/>
        <rFont val="Times New Roman"/>
        <family val="1"/>
      </rPr>
      <t>The absolute (non-negative) value of wind and solar energy price elasticity of demand, used in computing the effect of price on market share, and then change in wind and solar price (1/year).</t>
    </r>
  </si>
  <si>
    <r>
      <t>-</t>
    </r>
    <r>
      <rPr>
        <sz val="7"/>
        <color rgb="FF000000"/>
        <rFont val="Times New Roman"/>
        <family val="1"/>
      </rPr>
      <t xml:space="preserve"> </t>
    </r>
    <r>
      <rPr>
        <sz val="9"/>
        <color rgb="FF000000"/>
        <rFont val="Times New Roman"/>
        <family val="1"/>
      </rPr>
      <t>The absolute (non-negative) value of biomass energy price elasticity of demand, in computing the effect of price on market share, and then change in biomass price (1/year).</t>
    </r>
  </si>
  <si>
    <r>
      <t>-</t>
    </r>
    <r>
      <rPr>
        <sz val="7"/>
        <color rgb="FF000000"/>
        <rFont val="Times New Roman"/>
        <family val="1"/>
      </rPr>
      <t xml:space="preserve"> </t>
    </r>
    <r>
      <rPr>
        <sz val="9"/>
        <color rgb="FF000000"/>
        <rFont val="Times New Roman"/>
        <family val="1"/>
      </rPr>
      <t>Fraction of desired to intended agricultural land conversion (ha) from forest.</t>
    </r>
  </si>
  <si>
    <r>
      <t>-</t>
    </r>
    <r>
      <rPr>
        <sz val="7"/>
        <color rgb="FF000000"/>
        <rFont val="Times New Roman"/>
        <family val="1"/>
      </rPr>
      <t xml:space="preserve"> </t>
    </r>
    <r>
      <rPr>
        <sz val="9"/>
        <color rgb="FF000000"/>
        <rFont val="Times New Roman"/>
        <family val="1"/>
      </rPr>
      <t>Average time which natural transformation of Forest to Agriculture Land would take.</t>
    </r>
  </si>
  <si>
    <t>ton/ha</t>
  </si>
  <si>
    <r>
      <t>-</t>
    </r>
    <r>
      <rPr>
        <sz val="7"/>
        <color rgb="FF000000"/>
        <rFont val="Times New Roman"/>
        <family val="1"/>
      </rPr>
      <t xml:space="preserve"> </t>
    </r>
    <r>
      <rPr>
        <sz val="9"/>
        <color rgb="FF000000"/>
        <rFont val="Times New Roman"/>
        <family val="1"/>
      </rPr>
      <t>The reference productivity of grasslands used in computing tons of meat yield per ha of grassland.</t>
    </r>
  </si>
  <si>
    <r>
      <t>-</t>
    </r>
    <r>
      <rPr>
        <sz val="7"/>
        <color rgb="FF000000"/>
        <rFont val="Times New Roman"/>
        <family val="1"/>
      </rPr>
      <t xml:space="preserve"> </t>
    </r>
    <r>
      <rPr>
        <sz val="9"/>
        <color rgb="FF000000"/>
        <rFont val="Times New Roman"/>
        <family val="1"/>
      </rPr>
      <t>A factor representing the reference impact of technology advancement on agricultural land fertility, which together with other factors (e.g., effect of GWP growth, effect of management, fertilisation practices) are used in computing the actual impact of technology on agriculture and crop yield (ton/(ha*year)).</t>
    </r>
  </si>
  <si>
    <r>
      <t>-</t>
    </r>
    <r>
      <rPr>
        <sz val="7"/>
        <color rgb="FF000000"/>
        <rFont val="Times New Roman"/>
        <family val="1"/>
      </rPr>
      <t xml:space="preserve"> </t>
    </r>
    <r>
      <rPr>
        <sz val="9"/>
        <color rgb="FF000000"/>
        <rFont val="Times New Roman"/>
        <family val="1"/>
      </rPr>
      <t>A multiplier for the waste fraction of food data to determine the actual fraction of food waste in computing annual calorie demand (mkcal/year).</t>
    </r>
  </si>
  <si>
    <r>
      <t>-</t>
    </r>
    <r>
      <rPr>
        <sz val="7"/>
        <color rgb="FF000000"/>
        <rFont val="Times New Roman"/>
        <family val="1"/>
      </rPr>
      <t xml:space="preserve"> </t>
    </r>
    <r>
      <rPr>
        <sz val="9"/>
        <color rgb="FF000000"/>
        <rFont val="Times New Roman"/>
        <family val="1"/>
      </rPr>
      <t>The world average daily calorie intake.</t>
    </r>
  </si>
  <si>
    <r>
      <t>-</t>
    </r>
    <r>
      <rPr>
        <sz val="7"/>
        <color rgb="FF000000"/>
        <rFont val="Times New Roman"/>
        <family val="1"/>
      </rPr>
      <t xml:space="preserve"> </t>
    </r>
    <r>
      <rPr>
        <sz val="9"/>
        <color rgb="FF000000"/>
        <rFont val="Times New Roman"/>
        <family val="1"/>
      </rPr>
      <t>A factor, which together with the effect of GWP on meat consumption computes the fraction of people who shift from vegetarian diets to meat-based diets.</t>
    </r>
  </si>
  <si>
    <r>
      <t>-</t>
    </r>
    <r>
      <rPr>
        <sz val="7"/>
        <color rgb="FF000000"/>
        <rFont val="Times New Roman"/>
        <family val="1"/>
      </rPr>
      <t xml:space="preserve"> </t>
    </r>
    <r>
      <rPr>
        <sz val="9"/>
        <color rgb="FF000000"/>
        <rFont val="Times New Roman"/>
        <family val="1"/>
      </rPr>
      <t xml:space="preserve">A factor representing changes in the meat diet composition and consequently impacting the average calorie intake in meat diet (kcal/(person*day)). The higher the parameter value, the more sustainable (less meat consumption) the diet change. </t>
    </r>
  </si>
  <si>
    <t>tonC/year</t>
  </si>
  <si>
    <t>Global Average</t>
  </si>
  <si>
    <t>FeliX global average</t>
  </si>
  <si>
    <t>Uncertainty range %</t>
  </si>
  <si>
    <t>SDG</t>
  </si>
  <si>
    <t>Target description</t>
  </si>
  <si>
    <t>Target indicator</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</si>
  <si>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</si>
  <si>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</si>
  <si>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Global Food Tonnes Shortage</t>
  </si>
  <si>
    <t>ton/year</t>
  </si>
  <si>
    <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</si>
  <si>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</si>
  <si>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Goal 7. Ensure access to affordable, reliable, sustainable and modern energy</t>
  </si>
  <si>
    <t>7.1. By 2030, ensure universal access to affordable, reliable and modern energy services</t>
  </si>
  <si>
    <t>Increase access to renewable and clean energy</t>
  </si>
  <si>
    <t>Renewable Energy Access Percentage</t>
  </si>
  <si>
    <t>7.2. By 2030, increase substantially the share of renewable energy in the global energy mix</t>
  </si>
  <si>
    <t xml:space="preserve">Increase renewable energy share in the total final energy consumption </t>
  </si>
  <si>
    <t>7.3. By 2030, double the global rate of improvement in energy efficiency</t>
  </si>
  <si>
    <t>Reduce the energy intensity measured in terms of GDP</t>
  </si>
  <si>
    <t>Energy Intensity of GDP</t>
  </si>
  <si>
    <t>7.b By 2030, expand infrastructure and upgrade technology for supplying modern and sustainable energy services</t>
  </si>
  <si>
    <t>Increase investments in renewable/energy efficiency per GDP</t>
  </si>
  <si>
    <t>Total Renewable Investment per GDP</t>
  </si>
  <si>
    <t>Goal 12. Ensure sustainable consumption and production patterns</t>
  </si>
  <si>
    <t>12.2 By 2030, achieve the sustainable management and efficient use of natural resources</t>
  </si>
  <si>
    <t>SDG 13.
Take urgent action to combat
climate change and its impacts</t>
  </si>
  <si>
    <t>13.2 Integrate climate change measures into national policies, strategies and planning</t>
  </si>
  <si>
    <t>C in Atomosphere Compared to Preindustrial</t>
  </si>
  <si>
    <t>Total Agriculture Food C Emissions</t>
  </si>
  <si>
    <t>ton C/year</t>
  </si>
  <si>
    <t>Total Land use C Emissions</t>
  </si>
  <si>
    <t>Share of Land Use in Total C Emissions</t>
  </si>
  <si>
    <t>Share of Agriculture Food in Total C Emissions</t>
  </si>
  <si>
    <t>Atomospheric CO2 Concentration Compared to Preindustrial</t>
  </si>
  <si>
    <t>w/m2</t>
  </si>
  <si>
    <t>degree C</t>
  </si>
  <si>
    <t>Carbon Emissions per GDP</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</si>
  <si>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</si>
  <si>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</si>
  <si>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15.3 By 2030, combat desertification, restore degraded land and soil, including land affected by desertification, drought and floods, and strive to achieve a land degradation-neutral world</t>
  </si>
  <si>
    <t>15.5 Take urgent and significant action to reduce the degradation of natural habitats, halt the loss of biodiversity and, by 2020, protect and prevent the extinction of threatened species</t>
  </si>
  <si>
    <t>Total Radiative Forcing</t>
  </si>
  <si>
    <t>Total Renewable Market Share</t>
  </si>
  <si>
    <t>Meat Based Diet Population Percentage</t>
  </si>
  <si>
    <t>Meat Based Food Production</t>
  </si>
  <si>
    <t>Plant Based Food Production</t>
  </si>
  <si>
    <t>Daily Calorie Demand Supply Average Deficit per Capita</t>
  </si>
  <si>
    <t>Goal 3. Ensure healthy lives and promote well-being for all at all ages</t>
  </si>
  <si>
    <t>Goal 4. Ensure inclusive and equitable quality education and promote lifelong learning opportunities for all</t>
  </si>
  <si>
    <t>Related SDG target</t>
  </si>
  <si>
    <t>Indicator unit</t>
  </si>
  <si>
    <t>3.7 By 2030, ensure universal access to sexual and reproductive health-care services, including for family planning, information and education, and the integration of reproductive health into national strategies and programmes.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</si>
  <si>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</si>
  <si>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</si>
  <si>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3.9 By 2030, substantially reduce the number of deaths and illnesses from hazardous chemicals and air, water and soil pollution and contamination</t>
  </si>
  <si>
    <t>4.1 By 2030, ensure that all girls and boys complete free, equitable and quality primary and secondary education leading to relevant and effective learning outcomes</t>
  </si>
  <si>
    <t>4.3 By 2030, ensure equal access for all women and men to affordable and quality technical, vocational and tertiary education, including university</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</si>
  <si>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</si>
  <si>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</si>
  <si>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</si>
  <si>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8.5 By 2030, achieve full and productive employment and decent work for all women and men, including for young people and persons with disabilities, and equal pay for work of equal value</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</si>
  <si>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</si>
  <si>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ID</t>
  </si>
  <si>
    <t>8.1.1</t>
  </si>
  <si>
    <t>8.2.1</t>
  </si>
  <si>
    <t>2.1.1.a</t>
  </si>
  <si>
    <t>2.1.1.b</t>
  </si>
  <si>
    <t>Food Calorie Deficit per Capita</t>
  </si>
  <si>
    <t>mkcal/(person*year)</t>
  </si>
  <si>
    <t>2.1.2</t>
  </si>
  <si>
    <t>2.4.1</t>
  </si>
  <si>
    <t>2.4.2</t>
  </si>
  <si>
    <t>2.4.3</t>
  </si>
  <si>
    <t>2.4.4</t>
  </si>
  <si>
    <t>Cereal Yield</t>
  </si>
  <si>
    <t>ton/(year*ha)</t>
  </si>
  <si>
    <t>The deficit of average daily calorie demand per capita (considering the kcal intake shift due to diet change over time) and average daily animal and vegetal calorie supply per capita</t>
  </si>
  <si>
    <t>The deficit of annual caloric demand (considering diet change) including waste from the caloric value of food supply per year averaged over population</t>
  </si>
  <si>
    <t>The percentage of the (male and female) population with  meat-based diets</t>
  </si>
  <si>
    <t>2.1.3</t>
  </si>
  <si>
    <t>The deficit of global food demand including waste from global food supply per year</t>
  </si>
  <si>
    <t>The total annual production of pasture-based meat (beef, sheep and goat) and crop-based meat (poultry and pork)</t>
  </si>
  <si>
    <t>Indicator source</t>
  </si>
  <si>
    <t>Life Expectancy</t>
  </si>
  <si>
    <t>Human Development Index</t>
  </si>
  <si>
    <t>3.3/4/9.1</t>
  </si>
  <si>
    <t>3.3/4/9.2</t>
  </si>
  <si>
    <t>The UNDP Human Development Index as an average of three indexes of achievement (income, health, education) that impact most directly on human capabilities to produce and sustain well-being</t>
  </si>
  <si>
    <t>Adolescent Fertility Rate</t>
  </si>
  <si>
    <t>person/year</t>
  </si>
  <si>
    <t>The number of births per 1,000 by women between the age
of 15-19.</t>
  </si>
  <si>
    <t>Reduce child birth by adolescent girls through improved sexual and reproductive healthcare</t>
  </si>
  <si>
    <t>3.7.1</t>
  </si>
  <si>
    <t>UNDP</t>
  </si>
  <si>
    <t>4.1.1</t>
  </si>
  <si>
    <t>4.1.2</t>
  </si>
  <si>
    <t>4.3.1</t>
  </si>
  <si>
    <t>Population Age 25 to 34 with Tertiary Education</t>
  </si>
  <si>
    <t>Mean Years of Schooling</t>
  </si>
  <si>
    <t>UNESCO</t>
  </si>
  <si>
    <t>SDSN, OECD</t>
  </si>
  <si>
    <t xml:space="preserve">Average number of completed years of primary, secondary, and tertiary education (combined) of population </t>
  </si>
  <si>
    <t>4.1.3</t>
  </si>
  <si>
    <t>Increase the mean years of schooling (towards the maximum mean year of 15)</t>
  </si>
  <si>
    <t>Increase tertiary education coverage among young generations</t>
  </si>
  <si>
    <t>7.1.1</t>
  </si>
  <si>
    <t>Percentage of people whose energy demand is met by clean energy sources (wind, solar, biomass)</t>
  </si>
  <si>
    <t>7.3.1</t>
  </si>
  <si>
    <t>7.b.1</t>
  </si>
  <si>
    <t>Total renewable (wind, solar, biomass) investment as a proportion of GDP</t>
  </si>
  <si>
    <t>UNSC</t>
  </si>
  <si>
    <t>UNSC, World Bank</t>
  </si>
  <si>
    <t>GDP growth per capita</t>
  </si>
  <si>
    <t>GDP growth divided by the number of available labour force that contributes to economy</t>
  </si>
  <si>
    <t>GDP Growth per Capita</t>
  </si>
  <si>
    <t>GDP Growth per Employed Person</t>
  </si>
  <si>
    <t>8.5.1</t>
  </si>
  <si>
    <t>Labour Force Female to Male Ratio</t>
  </si>
  <si>
    <t>$1000/(person*year)</t>
  </si>
  <si>
    <t>tonC/$</t>
  </si>
  <si>
    <t>Increase the balance of male to female participation in economy</t>
  </si>
  <si>
    <t>12.2.1.a</t>
  </si>
  <si>
    <t>12.2.1.b</t>
  </si>
  <si>
    <t>12.2.2.a</t>
  </si>
  <si>
    <t>12.2.2.b</t>
  </si>
  <si>
    <t>Achieved Cropland Food Yield per Hectar</t>
  </si>
  <si>
    <t>Potential Cropland Food Yield per Hectar</t>
  </si>
  <si>
    <t>ton/(Year*ha)</t>
  </si>
  <si>
    <t>Production rate of crops divided by their dedicated area of harvested land</t>
  </si>
  <si>
    <t>Production rate of pasture-based meat divided by the dedicated area of grassland allocated for meat production</t>
  </si>
  <si>
    <t>Achieved Grassland Meat Yield per Hectar</t>
  </si>
  <si>
    <t>Potential Grassland Meat Yield per Hectar</t>
  </si>
  <si>
    <t>12.2.3.a</t>
  </si>
  <si>
    <t>12.2.3.b</t>
  </si>
  <si>
    <t>12.2.3.c</t>
  </si>
  <si>
    <t>12.2.4.a</t>
  </si>
  <si>
    <t>12.2.4.b</t>
  </si>
  <si>
    <t>12.2.4.c</t>
  </si>
  <si>
    <t>Total Accumulated Phosphorous in Soil</t>
  </si>
  <si>
    <t>ton</t>
  </si>
  <si>
    <t>Phosphorous Budget</t>
  </si>
  <si>
    <t>Total phosphorous in soil accumulated through commercial application in agriculture and application with manure and reduced by phosphorous uptake rate and erosion leaching and runoff rate</t>
  </si>
  <si>
    <t>Percentage of carbon emissions  increase from energy, land-use and food, compared to the baseline of the preindustrial level</t>
  </si>
  <si>
    <t>13.2.1.a</t>
  </si>
  <si>
    <t>13.2.1.b</t>
  </si>
  <si>
    <t>13.2.2.a</t>
  </si>
  <si>
    <t>13.2.2.b</t>
  </si>
  <si>
    <t>13.2.2.c</t>
  </si>
  <si>
    <t>13.2.3.a</t>
  </si>
  <si>
    <t>13.2.3.b</t>
  </si>
  <si>
    <t>13.2.3.c</t>
  </si>
  <si>
    <t>13.2.4.a</t>
  </si>
  <si>
    <t>13.2.4.b</t>
  </si>
  <si>
    <t>13.2.4.c</t>
  </si>
  <si>
    <t>13.2.5.a</t>
  </si>
  <si>
    <t>13.2.5.b</t>
  </si>
  <si>
    <t>13.2.5.c</t>
  </si>
  <si>
    <t>13.2.6</t>
  </si>
  <si>
    <t>13.2.7.a</t>
  </si>
  <si>
    <t>13.2.7.b</t>
  </si>
  <si>
    <t>13.2.8</t>
  </si>
  <si>
    <t>Share of agricultural sector and food production in total carbon emissions</t>
  </si>
  <si>
    <t>Share of the fossil energy sector (coal, gas, oil) in total carbon emissions</t>
  </si>
  <si>
    <t>Share of the renewable energy sector (solar, wind, biomass) in total carbon emissions</t>
  </si>
  <si>
    <t>Total carbon emissions from the fossil energy sector</t>
  </si>
  <si>
    <t>Total carbon emissions from the renewable energy sector</t>
  </si>
  <si>
    <t>Total carbon emissions from the food and agricultural sector</t>
  </si>
  <si>
    <t>Total Fossil Energy C Emissions</t>
  </si>
  <si>
    <t>Total Renewable Energy C Emissions</t>
  </si>
  <si>
    <t>Share of Fossil Energy in Total C Emissions</t>
  </si>
  <si>
    <t>Share of Renewable Energy in Total C Emissions</t>
  </si>
  <si>
    <t>Land use C Emissions per Capita</t>
  </si>
  <si>
    <t>ton C/(year*person)</t>
  </si>
  <si>
    <t>Agriculture Food C Emissions per Capita</t>
  </si>
  <si>
    <t>Fossil Energy C Emissions per Capita</t>
  </si>
  <si>
    <t>Renewable C Emissions per Capita</t>
  </si>
  <si>
    <t>13.2.2.d</t>
  </si>
  <si>
    <t>13.2.3.d</t>
  </si>
  <si>
    <t>13.2.4.d</t>
  </si>
  <si>
    <t>13.2.5.d</t>
  </si>
  <si>
    <t>Land use CO2 Emissions per Capita</t>
  </si>
  <si>
    <t>ton CO2/(year*person)</t>
  </si>
  <si>
    <t>Agriculture Food CO2 Emissions per Capita</t>
  </si>
  <si>
    <t>Fossil Energy CO2 Emissions per Capita</t>
  </si>
  <si>
    <t>Renewable CO2 Emissions per Capita</t>
  </si>
  <si>
    <t>Total carbon emissions from land use per capita</t>
  </si>
  <si>
    <t>Total CO2 emissions from land use per capita</t>
  </si>
  <si>
    <t>Total carbon emissions from food and agricultural sector per capita</t>
  </si>
  <si>
    <t>Total CO2 emissions from food and agricultural sector per capita</t>
  </si>
  <si>
    <t>Total carbon emissions from fossil energy sector per capita</t>
  </si>
  <si>
    <t>Total CO2 emissions from fossil energy sector per capita</t>
  </si>
  <si>
    <t>Total carbon emissions from the renewable energy sector per capita</t>
  </si>
  <si>
    <t>Total CO2 emissions from the renewable energy sector per capita</t>
  </si>
  <si>
    <t>CO2 Emissions per Capita</t>
  </si>
  <si>
    <t>CO2 Radiative Forcing</t>
  </si>
  <si>
    <t>Temprature change from preindustrial</t>
  </si>
  <si>
    <t>Reduce global carbon and CO2 emissions across different sectors</t>
  </si>
  <si>
    <t>Limit global climate forcing</t>
  </si>
  <si>
    <t xml:space="preserve">The difference between insolation (sunlight) absorbed by the Earth and energy radiated back to space from different greenhouse gases (CO2, CH4, N2O, HFC, others) </t>
  </si>
  <si>
    <t>Radiative forcing resulted from CO2</t>
  </si>
  <si>
    <t>Link</t>
  </si>
  <si>
    <t>https://data.worldbank.org/indicator/AG.YLD.CREL.KG?most_recent_value_desc=false</t>
  </si>
  <si>
    <t>2015-2017</t>
  </si>
  <si>
    <t>kg/(year*ha)</t>
  </si>
  <si>
    <t>Papua New Guinea</t>
  </si>
  <si>
    <t>Finland</t>
  </si>
  <si>
    <t>Bhutan</t>
  </si>
  <si>
    <t>Sweden</t>
  </si>
  <si>
    <t>Malaysia</t>
  </si>
  <si>
    <t>Egypt, Arab Rep.</t>
  </si>
  <si>
    <t>Libya</t>
  </si>
  <si>
    <t>Algeria</t>
  </si>
  <si>
    <t>Niger</t>
  </si>
  <si>
    <t>Kazakhstan</t>
  </si>
  <si>
    <t>Oman</t>
  </si>
  <si>
    <t>Belgium</t>
  </si>
  <si>
    <t>Netherlands</t>
  </si>
  <si>
    <t>Ireland</t>
  </si>
  <si>
    <t>New Zealand</t>
  </si>
  <si>
    <t>Somalia</t>
  </si>
  <si>
    <t>Mongolia</t>
  </si>
  <si>
    <t>Zimbabwe</t>
  </si>
  <si>
    <t>Sudan</t>
  </si>
  <si>
    <t>https://data.worldbank.org/indicator/AG.LND.FRST.ZS?view=chart</t>
  </si>
  <si>
    <t>https://data.worldbank.org/indicator/EG.FEC.RNEW.ZS?view=chart</t>
  </si>
  <si>
    <t>Iceland</t>
  </si>
  <si>
    <t>Norway</t>
  </si>
  <si>
    <t>India</t>
  </si>
  <si>
    <t>Denmark</t>
  </si>
  <si>
    <t>Iraq</t>
  </si>
  <si>
    <t>Iran, Islamic Rep.</t>
  </si>
  <si>
    <t>Azerbaijan</t>
  </si>
  <si>
    <t>Korea, Rep.</t>
  </si>
  <si>
    <t>this also include hydro which is not modelled.</t>
  </si>
  <si>
    <t>https://data.worldbank.org/indicator/NY.GDP.PCAP.CD?view=chart</t>
  </si>
  <si>
    <t>Luxembourg</t>
  </si>
  <si>
    <t>Switzerland</t>
  </si>
  <si>
    <t>Qatar</t>
  </si>
  <si>
    <t>Singapore</t>
  </si>
  <si>
    <t>United States</t>
  </si>
  <si>
    <t>Afghanistan</t>
  </si>
  <si>
    <t>Sierra Leone</t>
  </si>
  <si>
    <t>Congo, Dem. Rep.</t>
  </si>
  <si>
    <t>https://data.worldbank.org/indicator/SP.ADO.TFRT?view=chart</t>
  </si>
  <si>
    <t>Hong Kong SAR, China</t>
  </si>
  <si>
    <t>Slovenia</t>
  </si>
  <si>
    <t>Mali</t>
  </si>
  <si>
    <t>Chad</t>
  </si>
  <si>
    <t>Mozambique</t>
  </si>
  <si>
    <t>Liberia</t>
  </si>
  <si>
    <t>https://data.worldbank.org/indicator/SP.DYN.LE00.IN?view=chart</t>
  </si>
  <si>
    <t>Japan</t>
  </si>
  <si>
    <t>Spain</t>
  </si>
  <si>
    <t>Nigeria</t>
  </si>
  <si>
    <t>South Sudan</t>
  </si>
  <si>
    <t>http://hdr.undp.org/en/indicators/137506</t>
  </si>
  <si>
    <t>Germany</t>
  </si>
  <si>
    <t>Hong Kong, China (SAR)</t>
  </si>
  <si>
    <t>Burundi</t>
  </si>
  <si>
    <t>http://hdr.undp.org/en/indicators/103006</t>
  </si>
  <si>
    <t xml:space="preserve"> Germany</t>
  </si>
  <si>
    <t xml:space="preserve"> Switzerland</t>
  </si>
  <si>
    <t xml:space="preserve"> United States</t>
  </si>
  <si>
    <t xml:space="preserve"> Canada</t>
  </si>
  <si>
    <t xml:space="preserve"> Estonia</t>
  </si>
  <si>
    <t xml:space="preserve"> Niger</t>
  </si>
  <si>
    <t xml:space="preserve"> Chad</t>
  </si>
  <si>
    <t xml:space="preserve"> Mali</t>
  </si>
  <si>
    <t xml:space="preserve"> Guinea</t>
  </si>
  <si>
    <t xml:space="preserve"> Ethiopia</t>
  </si>
  <si>
    <t>Total Fossil Energy Market Share</t>
  </si>
  <si>
    <t>7.2.1.a</t>
  </si>
  <si>
    <t>7.2.1.b</t>
  </si>
  <si>
    <t xml:space="preserve">Decrease fossil energy share in the total final energy consumption </t>
  </si>
  <si>
    <t>http://hdr.undp.org/en/indicators/163906#</t>
  </si>
  <si>
    <t>http://hdr.undp.org/en/indicators/174306</t>
  </si>
  <si>
    <t xml:space="preserve"> Qatar</t>
  </si>
  <si>
    <t xml:space="preserve"> Saudi Arabia</t>
  </si>
  <si>
    <t xml:space="preserve"> Kazakhstan</t>
  </si>
  <si>
    <t xml:space="preserve"> Iran (Islamic Republic of)</t>
  </si>
  <si>
    <t xml:space="preserve"> Azerbaijan</t>
  </si>
  <si>
    <t xml:space="preserve"> Iceland</t>
  </si>
  <si>
    <t xml:space="preserve"> Kenya</t>
  </si>
  <si>
    <t xml:space="preserve"> Nigeria</t>
  </si>
  <si>
    <t xml:space="preserve"> Sweden</t>
  </si>
  <si>
    <t xml:space="preserve"> Paraguay</t>
  </si>
  <si>
    <t>http://hdr.undp.org/en/indicators/186606</t>
  </si>
  <si>
    <t xml:space="preserve"> Kuwait</t>
  </si>
  <si>
    <t xml:space="preserve"> United Arab Emirates</t>
  </si>
  <si>
    <t xml:space="preserve"> Australia</t>
  </si>
  <si>
    <t xml:space="preserve"> Pakistan</t>
  </si>
  <si>
    <t xml:space="preserve"> Kyrgyzstan</t>
  </si>
  <si>
    <t xml:space="preserve"> India</t>
  </si>
  <si>
    <t xml:space="preserve"> Indonesia</t>
  </si>
  <si>
    <t>CO2 Emissions per GDP</t>
  </si>
  <si>
    <t>kgCO2/$</t>
  </si>
  <si>
    <t>8.4.1.b</t>
  </si>
  <si>
    <t>8.4.1.a</t>
  </si>
  <si>
    <t>http://hdr.undp.org/en/indicators/186706</t>
  </si>
  <si>
    <t xml:space="preserve"> Libya</t>
  </si>
  <si>
    <t xml:space="preserve"> Turkmenistan</t>
  </si>
  <si>
    <t xml:space="preserve"> South Africa</t>
  </si>
  <si>
    <t xml:space="preserve"> Ukraine</t>
  </si>
  <si>
    <t xml:space="preserve"> Sri Lanka</t>
  </si>
  <si>
    <t xml:space="preserve"> Singapore</t>
  </si>
  <si>
    <t xml:space="preserve"> Hong Kong, China (SAR)</t>
  </si>
  <si>
    <t>https://www.oecd-ilibrary.org/education/education-at-a-glance-2018/percentage-of-25-34-year-olds-with-tertiary-education-by-level-of-tertiary-education-2017_eag-2018-graph11-en</t>
  </si>
  <si>
    <t>Korea</t>
  </si>
  <si>
    <t>Canada</t>
  </si>
  <si>
    <t>Russian Federation1</t>
  </si>
  <si>
    <t>Lithuania</t>
  </si>
  <si>
    <t>Indonesia</t>
  </si>
  <si>
    <t>South Africa</t>
  </si>
  <si>
    <t>China</t>
  </si>
  <si>
    <t>Brazil</t>
  </si>
  <si>
    <t>Republic of Korea</t>
  </si>
  <si>
    <t>Guatemala</t>
  </si>
  <si>
    <t>Mauritania</t>
  </si>
  <si>
    <t>Burkina Faso</t>
  </si>
  <si>
    <t>http://data.uis.unesco.org/</t>
  </si>
  <si>
    <t>The data is for upper secondary school</t>
  </si>
  <si>
    <t>Eritrea</t>
  </si>
  <si>
    <t>Pakistan</t>
  </si>
  <si>
    <t>Portugal</t>
  </si>
  <si>
    <t>https://www.climatewatchdata.org/ghg-emissions?breakBy=regions-PER_CAPITA&amp;gases=co-2&amp;sectors=land-use-change-and-forestry</t>
  </si>
  <si>
    <t>Latin America And Caribbean</t>
  </si>
  <si>
    <t>Sub-Saharan Africa</t>
  </si>
  <si>
    <t>Small Island Developing States</t>
  </si>
  <si>
    <t>East Asia And Pacific</t>
  </si>
  <si>
    <t>South Asia</t>
  </si>
  <si>
    <t>Middle East And North Africa</t>
  </si>
  <si>
    <t>BRICS</t>
  </si>
  <si>
    <t>North America Region</t>
  </si>
  <si>
    <t>European Union (27)</t>
  </si>
  <si>
    <t>Least Developed Countries</t>
  </si>
  <si>
    <t>OECD</t>
  </si>
  <si>
    <t>Total Energy CO2 Emissions per Capita</t>
  </si>
  <si>
    <t>13.2.4/5.d</t>
  </si>
  <si>
    <t>Total CO2 emissions from the fossil and renewable energy sector per capita</t>
  </si>
  <si>
    <t>https://www.climatewatchdata.org/ghg-emissions?breakBy=regions-PER_CAPITA&amp;gases=co-2&amp;regions=BRICS%2CEAP%2CEUU%2CLAC%2CLDC%2CMNA%2CNAR%2CSIDS%2CSAR%2CSSA%2CWORLD%2COECD&amp;sectors=energy</t>
  </si>
  <si>
    <t>https://www.climatewatchdata.org/ghg-emissions?breakBy=regions-PER_CAPITA&amp;gases=co-2&amp;regions=BRICS%2CEAP%2CEUU%2CLAC%2CLDC%2CMNA%2CNAR%2COECD%2CSIDS%2CSAR%2CWORLD%2CSSA&amp;sectors=agriculture&amp;source=PIK</t>
  </si>
  <si>
    <t>U.S.A.</t>
  </si>
  <si>
    <t>Jordan</t>
  </si>
  <si>
    <t>Kyrgyzstan</t>
  </si>
  <si>
    <t>Israel</t>
  </si>
  <si>
    <t>Lebanon</t>
  </si>
  <si>
    <t>Cyprus</t>
  </si>
  <si>
    <t>Hong Kong</t>
  </si>
  <si>
    <t>Kuwait</t>
  </si>
  <si>
    <t>Australia</t>
  </si>
  <si>
    <t>Estonia</t>
  </si>
  <si>
    <t>Italy</t>
  </si>
  <si>
    <t>https://www.nature.com/articles/ngeo2635#MOESM247</t>
  </si>
  <si>
    <t>The numbres are only approximate estimate from figures</t>
  </si>
  <si>
    <t>kg/(year*person)</t>
  </si>
  <si>
    <t>1000ton/year</t>
  </si>
  <si>
    <t>Food and Agriculture Nitrogen Emissions per Capita</t>
  </si>
  <si>
    <t>Food and Agriculture Nitrogen Balance</t>
  </si>
  <si>
    <t>https://stats.oecd.org/</t>
  </si>
  <si>
    <t>the data is only based on OECD</t>
  </si>
  <si>
    <t>Czech Republic</t>
  </si>
  <si>
    <t>United Kingdom</t>
  </si>
  <si>
    <t>Latvia</t>
  </si>
  <si>
    <t>Romania</t>
  </si>
  <si>
    <t>Phosphorous Fertilizer Use in Agriculture</t>
  </si>
  <si>
    <t>Nitrogen Fertilizer Use in Agriculture</t>
  </si>
  <si>
    <t>Food and Agriculture Phosphorous Balance</t>
  </si>
  <si>
    <t>12.2.4.d</t>
  </si>
  <si>
    <t>Turkey</t>
  </si>
  <si>
    <t>Slovak Republic</t>
  </si>
  <si>
    <t>Chile</t>
  </si>
  <si>
    <t>UK</t>
  </si>
  <si>
    <t>Mexico</t>
  </si>
  <si>
    <t>https://ourworldindata.org/renewable-energy#investment-by-region</t>
  </si>
  <si>
    <t>Data was only available for these coutnries, therefore they do not represent the top/bottom 5</t>
  </si>
  <si>
    <t>https://data.worldbank.org/indicator/EG.EGY.PRIM.PP.KD</t>
  </si>
  <si>
    <t>Uzbekistan</t>
  </si>
  <si>
    <t>Russian Federation</t>
  </si>
  <si>
    <t>Moldova</t>
  </si>
  <si>
    <t>mj/$</t>
  </si>
  <si>
    <t>Sri Lanka</t>
  </si>
  <si>
    <t>Cuba</t>
  </si>
  <si>
    <t>http://www.fao.org/faostat/en/#data/RFN</t>
  </si>
  <si>
    <t>United States of America</t>
  </si>
  <si>
    <t>Solomon Islands</t>
  </si>
  <si>
    <t>Samoa</t>
  </si>
  <si>
    <t>Djibouti</t>
  </si>
  <si>
    <t>Montenegro</t>
  </si>
  <si>
    <t>http://www.fao.org/faostat/en/#data/FBS</t>
  </si>
  <si>
    <t>European Union</t>
  </si>
  <si>
    <t>Data was limited, therefore we didn't have top/bottom 5</t>
  </si>
  <si>
    <t>Average Dietry Energy Supply Adequacy</t>
  </si>
  <si>
    <t>2.1.1.c</t>
  </si>
  <si>
    <t>Egypt</t>
  </si>
  <si>
    <t>Morocco</t>
  </si>
  <si>
    <t>Austria</t>
  </si>
  <si>
    <t>Central African Republic</t>
  </si>
  <si>
    <t>Democratic People's Republic of Korea</t>
  </si>
  <si>
    <t>Democratic Republic of the Congo</t>
  </si>
  <si>
    <t>Madagascar</t>
  </si>
  <si>
    <t>http://www.fao.org/faostat/en/#data/FS</t>
  </si>
  <si>
    <t>Ratio of Land Allocated for Animal Food Production</t>
  </si>
  <si>
    <t>Congo</t>
  </si>
  <si>
    <t>Turkmenistan</t>
  </si>
  <si>
    <t>Myanmar</t>
  </si>
  <si>
    <t>http://www.fao.org/faostat/en/#data/EL</t>
  </si>
  <si>
    <t>https://data.giss.nasa.gov/gistemp/graphs_v3/</t>
  </si>
  <si>
    <t>Not meaningful per country</t>
  </si>
  <si>
    <t>The diffenrece of global data is manually calculated form the concentartion in 1859 (284.7ppm) according to Historical CO2 record derived from a spline fit (20 year cutoff) of the Law Dome DE08 and DE08-2 ice cores for year 1850</t>
  </si>
  <si>
    <t>https://www.co2.earth/historical-co2-datasets</t>
  </si>
  <si>
    <t>https://www.esrl.noaa.gov/gmd/ccgg/trends/global.html</t>
  </si>
  <si>
    <t>https://www.ipcc.ch/site/assets/uploads/2018/02/WG1AR5_Chapter08_FINAL.pdf</t>
  </si>
  <si>
    <t>Data in Table 8.2</t>
  </si>
  <si>
    <t>Ratio of Agricultural Land Degraded</t>
  </si>
  <si>
    <t>15.3.1</t>
  </si>
  <si>
    <t>15.1.1.a</t>
  </si>
  <si>
    <t>15.1.1.b</t>
  </si>
  <si>
    <t>Forest to Total Land Area</t>
  </si>
  <si>
    <t>Percentage of forest to total land areas</t>
  </si>
  <si>
    <t>15.5.1</t>
  </si>
  <si>
    <t>Mean Species Abundance</t>
  </si>
  <si>
    <t>Total Change in Ecosystem Value</t>
  </si>
  <si>
    <t>$</t>
  </si>
  <si>
    <t>15.9 By 2020, integrate ecosystem and biodiversity values into national and local planning, development processes, poverty reduction strategies and accounts</t>
  </si>
  <si>
    <t>15.9.1</t>
  </si>
  <si>
    <t>15.2 By 2020, promote the implementation of sustainable management of all types of forests, halt deforestation, restore degraded forests and substantially increase afforestation and reforestation globally</t>
  </si>
  <si>
    <t>https://www.cbd.int/doc/publications/cbd-ts-31.pdf</t>
  </si>
  <si>
    <t>Table 8</t>
  </si>
  <si>
    <t>Secretariat of the Convention for Biological Diversity (CBD), Cross-roads of Life on Earth - Exploring means to meet the 2010 Biodiversity Target, 2007</t>
  </si>
  <si>
    <t>North Africa</t>
  </si>
  <si>
    <t>Oceania and Japan</t>
  </si>
  <si>
    <t>North America</t>
  </si>
  <si>
    <t>Sub Saharan Africa</t>
  </si>
  <si>
    <t>Russia and North Asia</t>
  </si>
  <si>
    <t>West Asia</t>
  </si>
  <si>
    <t>South and East Asia</t>
  </si>
  <si>
    <t>Europe</t>
  </si>
  <si>
    <t>Notop or bottom countries</t>
  </si>
  <si>
    <t>Deforestation as Percentage of Initial Forest Land</t>
  </si>
  <si>
    <t>Changes in forest land area as a percentage of change from the area in year 1900</t>
  </si>
  <si>
    <t>World</t>
  </si>
  <si>
    <t>World/region/country</t>
  </si>
  <si>
    <t>Year 1</t>
  </si>
  <si>
    <t>Note</t>
  </si>
  <si>
    <t>Justification</t>
  </si>
  <si>
    <t>Reference year</t>
  </si>
  <si>
    <t>Year 2</t>
  </si>
  <si>
    <t>Year 3</t>
  </si>
  <si>
    <t>FAO</t>
  </si>
  <si>
    <t>Eliminate global food shortage and food insecurity in the population</t>
  </si>
  <si>
    <t>SDSN, FAO, World Bank</t>
  </si>
  <si>
    <t>SDSN, WHO, World Bank</t>
  </si>
  <si>
    <t>SDSN, UNDP, World Bank</t>
  </si>
  <si>
    <t>Children Out of Primary School Rate</t>
  </si>
  <si>
    <t>Subtract the number of primary school-age pupils enrolled in pre-primary, primary or secondary school from the total population of official primary school age, divide the difference by the population of primary school age, and multiply by 100.</t>
  </si>
  <si>
    <t>Eliminate population without no or incomplete basic education</t>
  </si>
  <si>
    <t>Maximise access to secondary education for all</t>
  </si>
  <si>
    <t>Total Secondary Enrolment Rate</t>
  </si>
  <si>
    <t>Total number of students who are in the age group eligible for the secondary level of education enrolled in primary or secondary level, expressed as a percentage of the total population in that bracket of ages (15-19).</t>
  </si>
  <si>
    <t>Bloomberg New Energy Finance, World Bank</t>
  </si>
  <si>
    <t>UNSC, World Bank, UNDP</t>
  </si>
  <si>
    <t>Increase the GDP across countries</t>
  </si>
  <si>
    <t>Increase the contribution of each employed person to the GDP</t>
  </si>
  <si>
    <t xml:space="preserve">Reduce environmental pressures, such as declining soil fertility in the case of a nutrient deficit, or for a nutrient surplus and the risk of polluting soil, water and air which can be harmful to
human health and the environment </t>
  </si>
  <si>
    <t>Malawi</t>
  </si>
  <si>
    <t>North Korea</t>
  </si>
  <si>
    <t>Oita et al. (2016) Nature Geoscience</t>
  </si>
  <si>
    <t>NOAA</t>
  </si>
  <si>
    <t>https://di.unfccc.int/detailed_data_by_party</t>
  </si>
  <si>
    <t>Climate Watch, UNFCCC</t>
  </si>
  <si>
    <t>https://www.ifastat.org/databases/plant-nutrition</t>
  </si>
  <si>
    <t>IPCC, IIASA</t>
  </si>
  <si>
    <t>http://www.fao.org/faostat/en/#data/RL</t>
  </si>
  <si>
    <t>FAO, World Bank</t>
  </si>
  <si>
    <t>Stop biodiversity extinction due to the impact of climate change</t>
  </si>
  <si>
    <t>Limit land degradation in agricultural lands over time</t>
  </si>
  <si>
    <t>CBD</t>
  </si>
  <si>
    <t>FeliX global average projection</t>
  </si>
  <si>
    <t>2.4.5</t>
  </si>
  <si>
    <t>Total livestock production in dry matter including meat, milk, egg</t>
  </si>
  <si>
    <t>Reduce global population growth</t>
  </si>
  <si>
    <t>Million people</t>
  </si>
  <si>
    <t>3.7.2</t>
  </si>
  <si>
    <t>Total number of global population in both sex</t>
  </si>
  <si>
    <t>4.1.4</t>
  </si>
  <si>
    <t>4.1.5</t>
  </si>
  <si>
    <t>4.3.2</t>
  </si>
  <si>
    <t>Improve the completion rate in primary and secondary education in terms of the number of primary and secondary education graduates</t>
  </si>
  <si>
    <t>7.3.2</t>
  </si>
  <si>
    <t>7.2.2</t>
  </si>
  <si>
    <t>7.2.3</t>
  </si>
  <si>
    <t>7.2.4</t>
  </si>
  <si>
    <t>7.2.5</t>
  </si>
  <si>
    <t>7.2.6</t>
  </si>
  <si>
    <t>7.2.7</t>
  </si>
  <si>
    <t>EJ/year</t>
  </si>
  <si>
    <t>Energy production from fossil fuel sources limited by availability of resources and impacted by demand, market price, technology progress, GDP growth, amongst others.</t>
  </si>
  <si>
    <t>Energy production from renewable sources limited by a maximum capacity and impacted by demand, market price, technology progress, GDP growth, amongst others.</t>
  </si>
  <si>
    <t>Total energy demand determined based on population, energy demand per capita, and the impact of GDP on lifestyle and increasing energy demand per capita</t>
  </si>
  <si>
    <t>The percentage of the population, aged between 25-34 years old, who have completed tertiary education.</t>
  </si>
  <si>
    <t>15.1.1.c</t>
  </si>
  <si>
    <t>million ha</t>
  </si>
  <si>
    <t>Total area of forest lands</t>
  </si>
  <si>
    <t>2.4.6</t>
  </si>
  <si>
    <t>2.4.7</t>
  </si>
  <si>
    <t>Total available permanent pasture and meadow land</t>
  </si>
  <si>
    <t>Total land allocated for energy and food (and feed) crops</t>
  </si>
  <si>
    <t>million tDM/year</t>
  </si>
  <si>
    <t>R5.2OECD</t>
  </si>
  <si>
    <t>million people</t>
  </si>
  <si>
    <t>Asia</t>
  </si>
  <si>
    <t>Eastern Europe and the Former Soviet Union</t>
  </si>
  <si>
    <t>Middle East and Africa</t>
  </si>
  <si>
    <t>Latin America and the Caribbean</t>
  </si>
  <si>
    <t>Top performers</t>
  </si>
  <si>
    <t>https://tntcat.iiasa.ac.at/SspDb/dsd?Action=htmlpage&amp;page=about</t>
  </si>
  <si>
    <t>50% decrease from the reference year value</t>
  </si>
  <si>
    <t>Limit agricultural land expansion</t>
  </si>
  <si>
    <t>SDG absolute threshold</t>
  </si>
  <si>
    <t>Goal 4 emphasises education for all.</t>
  </si>
  <si>
    <t>50% reduction in energy intensity of GDP based on the target for doubling improvement in energy efficiency.</t>
  </si>
  <si>
    <t>Technical optimum</t>
  </si>
  <si>
    <t>https://tntcat.iiasa.ac.at/SspDb/dsd?Action=htmlpage&amp;page=40</t>
  </si>
  <si>
    <t>No food shortage by 2030</t>
  </si>
  <si>
    <t>30% reduction from the reference year value</t>
  </si>
  <si>
    <t xml:space="preserve">Global improvement </t>
  </si>
  <si>
    <t>Access to clean energy for all</t>
  </si>
  <si>
    <t>50% increase from the reference year value</t>
  </si>
  <si>
    <t>50% decrease from the reference year value  degradation of agricultural lands</t>
  </si>
  <si>
    <t>50% increase in the ecosystem value of total lands (reduction in value loss)</t>
  </si>
  <si>
    <t>No deforestation in forest lands</t>
  </si>
  <si>
    <t>Equal opportunities for all men and women</t>
  </si>
  <si>
    <t>SSP 1 projection from IIASA</t>
  </si>
  <si>
    <t>The FeliX model projection</t>
  </si>
  <si>
    <t>Indicator definition</t>
  </si>
  <si>
    <t>Average Dietary Energy Supply Adequacy</t>
  </si>
  <si>
    <t>Improve a  healthy and more sustainable diet that can cause various forms of diet-related health conditions in the population (i.e., reduce meat-based diets)</t>
  </si>
  <si>
    <t>The annual cereal (pulses and grains) production rate per hectare of harvested croplands dedicated to cereal (pulses and grains) production</t>
  </si>
  <si>
    <t>The total annual production of pulses, grains, vegetable, fruits, roots, and other plant product (oil crops, sugar crops and nuts)</t>
  </si>
  <si>
    <t>Increase life expectancy and advance human wellbeing and richness of life rather than simply the richness of the economy</t>
  </si>
  <si>
    <t>The average life expectancy of the population</t>
  </si>
  <si>
    <t>Total number of primary education graduates from box sex and in different age cohorts older than 10 years old.</t>
  </si>
  <si>
    <t>Total number of secondary education graduates from box sex and in different age cohorts older than 15 years old.</t>
  </si>
  <si>
    <t>Improve the enrolment and completion rate in tertiary education in terms of the number of graduates</t>
  </si>
  <si>
    <t>Total number of tertiary education graduates from box sex and in different age cohorts older than 20 years old.</t>
  </si>
  <si>
    <t>Reduce (decouple) carbon emissions on per unit of value added through upgrading infrastructure and retrofitting industries</t>
  </si>
  <si>
    <t>Available female labour force divided by available male labour force</t>
  </si>
  <si>
    <t>Increase land (cropland, grassland meat, energy, forest) yield fertility</t>
  </si>
  <si>
    <t>Achieved Cropland Food Yield per Hectare</t>
  </si>
  <si>
    <t>Potential Cropland Food Yield per Hectare</t>
  </si>
  <si>
    <t>Crop (pulses, grains, vegetables, other plant products) yield per hectare per year given the effect of water, climate change, and carbon concentration, and economic growth (agricultural technology), and fertilization</t>
  </si>
  <si>
    <t>Achieved Grassland Meat Yield per Hectare</t>
  </si>
  <si>
    <t>Potential Grassland Meat Yield per Hectare</t>
  </si>
  <si>
    <t>Grassland meat yield per hectare per year given the effect of water, climate change, and carbon concentration, and fertilization on yield</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</si>
  <si>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t>
  </si>
  <si>
    <t>Total nitrogen emissions per year per capita accumulated through commercial application in agriculture and application with manure and reduced by denitrification and nitrogen leaching and runoff</t>
  </si>
  <si>
    <t>Commercial nitrogen fertilizer application in agriculture resulted from the effect of land availability, income, and technology on fertilizer use</t>
  </si>
  <si>
    <t>Phosphorous flux calculated based on differences between inflow and outflow phosphorous</t>
  </si>
  <si>
    <t>Commercial phosphorous fertilizer application in agriculture resulted from the effect of land availability, income, and technology on fertilizer use</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</si>
  <si>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t>
  </si>
  <si>
    <t>C in Atmosphere Compared to Preindustrial</t>
  </si>
  <si>
    <t>Total carbon emissions from the land-use (land-use change and forestry) change</t>
  </si>
  <si>
    <t>Share of land-use (land-use change and forestry) in total carbon emissions</t>
  </si>
  <si>
    <t>Limit global temperature change from preindustrial</t>
  </si>
  <si>
    <t xml:space="preserve">Global annual mean temperature change from the pre-industrial time calculated as atmosphere and upper ocean heat divided by their heat capacity </t>
  </si>
  <si>
    <t>Temperature Change from Preindustrial</t>
  </si>
  <si>
    <t>Stop deforestation and promote restoration of degraded forest lands</t>
  </si>
  <si>
    <t>Percentage of agricultural land degraded (erosion and land-use change) area to total available agricultural land at that time</t>
  </si>
  <si>
    <t>Mean abundance of original species relative to their abundance in undisturbed ecosystems. It varies between 100 (biodiversity as natural habitat) to 0 (no biodiversity)</t>
  </si>
  <si>
    <t>Increase the total ecosystem value through the conservation and sustainability of biodiversity and ecosystems</t>
  </si>
  <si>
    <t>Goal 4 emphasises education for all. The data is for upper secondary school enrolment rate.</t>
  </si>
  <si>
    <t>Informed based on previous targets set in SDG Index Report. The numbers in each country are estimates from figures. Values include both emissions induced domestically and abroad from industries and households for the nation’s consumption. The world average is model simulation with FeliX.</t>
  </si>
  <si>
    <t>Tajikistan</t>
  </si>
  <si>
    <t>No biodiversity loss and no extinction of endangered species. Data from Table 8 Secretariat of the Convention for Biological Diversity (CBD), Cross-roads of Life on Earth - Exploring means to meet the 2010 Biodiversity Target, 2007</t>
  </si>
  <si>
    <t>1000 ton/year</t>
  </si>
  <si>
    <t>The world average is model simulation with FeliX.</t>
  </si>
  <si>
    <t>Data shows the values in 2010 $US.</t>
  </si>
  <si>
    <t>Data is only based on OECD countries.</t>
  </si>
  <si>
    <t>Data is only based on the OECD countries.</t>
  </si>
  <si>
    <t>Green target threshold</t>
  </si>
  <si>
    <t>Yellow target threshold</t>
  </si>
  <si>
    <t>Orange target threshold</t>
  </si>
  <si>
    <t>Red target threshold</t>
  </si>
  <si>
    <t>Data reference year</t>
  </si>
  <si>
    <t>Model reference year</t>
  </si>
  <si>
    <t>Model reference value</t>
  </si>
  <si>
    <t>Increase sustainable food production (we would need to produce 25-70%
more food by 2050 due to population growth and
increased consumption (Hunter et al. 2017))</t>
  </si>
  <si>
    <t>Improve the productivity (climate change impacts will reduce
productivity by up to 50% (CBA 2019))</t>
  </si>
  <si>
    <t>Improvement rate</t>
  </si>
  <si>
    <t>$1000/(year*person)</t>
  </si>
  <si>
    <t>Total Lost Value of Ecosystems</t>
  </si>
  <si>
    <t>Total ecosystem value loss of all considered areas - forest, cropland and other land like woodland and grassland</t>
  </si>
  <si>
    <t>Best value</t>
  </si>
  <si>
    <t>Worst value</t>
  </si>
  <si>
    <t xml:space="preserve">Radiative forcing projection in 2030 for SSP 1 RCP 1.9 in 2100 with IMAGE as its marker model for the best value, SSP 1 RCP 2.6 as green target, SS1 RCP 4.5 as yellow target, SSP5 RCP 6 with REMIND-MAGPIE as the orange/red target,  SSP 5 RCP 8.5 as the worst value. </t>
  </si>
  <si>
    <t>Data reference value</t>
  </si>
  <si>
    <t>Technological Improvement Scenario Variation</t>
  </si>
  <si>
    <t>CCS Scenario Variation</t>
  </si>
  <si>
    <t>- Average time required to turn investments into concrete fossil energy discovery and recovery technology developments.</t>
  </si>
  <si>
    <t>- The upper level of acceptable total carbon emission from fossil fuels.</t>
  </si>
  <si>
    <t>The indicator expresses the dietary energy supply as a percentage of the average dietary energy requirement. The dietary requirement in the model is calculated based on annual calorie demand.</t>
  </si>
  <si>
    <t>Data was limited, therefore we didn't include data at the country level. Plant production in data is based on the production quanitity of Cereals - Excluding Beer, Starchy Roots,Pulses, treenuts, oilcrops, vegetables, and fuits (exculding wine)</t>
  </si>
  <si>
    <t>Meat production is the aggregation of bovine meat, mutton and goat meat, pig meat, poultry, and meat others.</t>
  </si>
  <si>
    <t>Ratio of Agricultural Lands to Total Lands</t>
  </si>
  <si>
    <t>The ratio of land allocated to agriculture (permanent crops, permanent meadows and pastures, arable lands) to total available lands</t>
  </si>
  <si>
    <t>Reduce pressure on lands from food and agricultural production</t>
  </si>
  <si>
    <t>Falkland Islands (Malvinas)</t>
  </si>
  <si>
    <t>Uruguay</t>
  </si>
  <si>
    <t>Saudi Arabia</t>
  </si>
  <si>
    <t>Lesotho</t>
  </si>
  <si>
    <t>French Guyana</t>
  </si>
  <si>
    <t>Suriname</t>
  </si>
  <si>
    <t>Greenland</t>
  </si>
  <si>
    <t>Turks and Caicos Islands</t>
  </si>
  <si>
    <t>Share of Fossil Energy Consumption</t>
  </si>
  <si>
    <t>Percentage of fossil energy consumption share in total energy demand</t>
  </si>
  <si>
    <t>Share of Renewable Energy Consumption</t>
  </si>
  <si>
    <t xml:space="preserve">Percentage of renewable energy consumption share in total energy demand </t>
  </si>
  <si>
    <t>https://documentcloud.adobe.com/link/track?uri=urn:aaid:scds:US:98c23776-f8e2-4629-b6ee-c09a7f667224</t>
  </si>
  <si>
    <t>World (MESSAGE-GLOBIOM)</t>
  </si>
  <si>
    <t>World (AIM/CGE)</t>
  </si>
  <si>
    <t>World (REMIND-MAGPIE)</t>
  </si>
  <si>
    <t>World (IMAGE)</t>
  </si>
  <si>
    <t>Data is from the SSP 2 Baseline without CCS with the MESSAGE-GLOBIOM model as the marker model in SSP 2. Given the uncertainty in model projections, we selected the model whose projected value in 2020 was closest to FeliX projection.</t>
  </si>
  <si>
    <t>Data is from the SSP 2 Baseline without CCS with the REMIND-MAGPIE model. Given the uncertainty in model projections, we selected the model whose projected value in 2020 was closest to FeliX projection.</t>
  </si>
  <si>
    <t>Data is from the SSP 2 Baseline without CCS with the IMAGE model. Given the uncertainty in model projections, we selected the model whose projected value in 2020 was closest to FeliX projection.</t>
  </si>
  <si>
    <t>World (FeliX)</t>
  </si>
  <si>
    <t>Human-originated carbon dioxide emissions stemming from emissions the burning of fossil fuels divided by the unit of the GDP</t>
  </si>
  <si>
    <t>Total carbon emissions from fossil fuels, land-use, and agriculture, divided by the unit of the GDP</t>
  </si>
  <si>
    <t>World Bank, UNDP</t>
  </si>
  <si>
    <t>https://data.worldbank.org/indicator/EN.ATM.CO2E.KD.GD</t>
  </si>
  <si>
    <t>The model calculates P content while the dataset reports P2O5. A fraction of 0.4365 was applied to the calculation of P content</t>
  </si>
  <si>
    <t>FAO, IFASTAT</t>
  </si>
  <si>
    <t>FAO, IDASTAT</t>
  </si>
  <si>
    <t>The difference between the total quantity of phosphorous inputs entering an agricultural system (mainly fertilisers, livestock manure), and the quantity of phosphorous outputs leaving the system (mainly uptake of phosphorous by crops and grassland). Gross phosphorous balances are expressed in kg of phosphorous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</si>
  <si>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The difference between the total quantity of nitrogen inputs entering an agricultural system (mainly fertilisers, livestock manure), and the quantity of nitrogen outputs leaving the system (mainly uptake of nitrogen by crops and grassland). Gross nitrogen balances are expressed in kg of nitrogen surplus (when positive) or deficit (when negative) per hectare of agricultural land (for animal and vegetal foods) to show the relative intensity of nutrients in agricultural systems. It can be used as a proxy to reveal the status of environmental pressures, such as declining soil fertility in the case of a nutrient deficit, or for a nutrient surplus the risk of polluting soil, water and air.</t>
  </si>
  <si>
    <t>Climate Watch, UNFCCC, World Resources Institute</t>
  </si>
  <si>
    <t>ton CO2/year</t>
  </si>
  <si>
    <t>13.2.2.e</t>
  </si>
  <si>
    <t>http://www.fao.org/faostat/en/#data/GT</t>
  </si>
  <si>
    <t>13.2.3.e</t>
  </si>
  <si>
    <t>Total CO2 emissions from food and agricultural sector</t>
  </si>
  <si>
    <t>Total CO2 emissions from forest and agricultural land use change</t>
  </si>
  <si>
    <t>Total CO2 Emissions from Land Use</t>
  </si>
  <si>
    <t>Total CO2 Emissions from Agriculture</t>
  </si>
  <si>
    <t>Total Agriculture C Emissions</t>
  </si>
  <si>
    <t>Share of Agriculture in Total C Emissions</t>
  </si>
  <si>
    <t>Agriculture C Emissions per Capita</t>
  </si>
  <si>
    <t>Agriculture CO2 Emissions per Capita</t>
  </si>
  <si>
    <t>Values ar calculated by dividing total emissions from agriculture (FAO) by total populaiton (FAO)</t>
  </si>
  <si>
    <t>Values ar calculated by deviding total emissions from land use (FAO) by total populaiton (FAO)</t>
  </si>
  <si>
    <t>Total CO2 emissions per person per year. Data for carbon dioxide emissions include gases from the burning of fossil fuels and cement manufacture, but excludes emissions from land use such as deforestation.</t>
  </si>
  <si>
    <t>World Bank</t>
  </si>
  <si>
    <t>https://data.worldbank.org/indicator/EN.ATM.CO2E.PC?view=chart</t>
  </si>
  <si>
    <t>Global mean temperature increase projection for 2005, 2010, 2020 from SSP2 Baseline with MESSAGE GLOBOIM. In 2030 for SSP 1 RCP 1.9 with IMAGE as its marker model for the best value, SSP1 RCP 2.6 as green target, SSP1 RCP 4.5 as yellow target, SSP5 RCP 6 with REMIND_MAGPIE as the marker model for orange/red target, SSP5 RCP 8.5 as the worst value</t>
  </si>
  <si>
    <t>IIASA</t>
  </si>
  <si>
    <t>Data are from the SSP 2 Baseline simulation with the MESSAGE-GLOBIOM model as the marker model in SSP 2.</t>
  </si>
  <si>
    <t>FAOSTAT</t>
  </si>
  <si>
    <t>GDP per Capita</t>
  </si>
  <si>
    <t>GDP per Employed Person</t>
  </si>
  <si>
    <t>Reference data is from SSP 2 Baseline with MESSAGE-GLOBIOM as its marker model.</t>
  </si>
  <si>
    <t>Green target is based on SSP1 2.6, yellow target is based on SSP4 baseline, and red target is absed on SSP 3 baseline. All projected data from the marker model of each SSP in 2030</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</si>
  <si>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</si>
  <si>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</si>
  <si>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</si>
  <si>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t>
  </si>
  <si>
    <t>Energy consumption per unit of GDP production. Energy intensity is an indication of how much energy is used to produce one unit of economic output. Lower ratio indicates that less energy is used to produce one unit of output.</t>
  </si>
  <si>
    <t>Methodology</t>
  </si>
  <si>
    <t>This indicator is obtained by dividing This indicator is obtained by dividing total primary energy supply over gross domestic product measured.</t>
  </si>
  <si>
    <t>https://www.iea.org/data-and-statistics/?country=WORLD&amp;fuel=Renewables%20and%20waste&amp;indicator=Wind%20electricity%20generation</t>
  </si>
  <si>
    <t>https://www.iea.org/data-and-statistics/?country=WORLD&amp;fuel=Renewables%20and%20waste&amp;indicator=Solar%20PV%20electricity%20generation</t>
  </si>
  <si>
    <t>Green target based on at least 7 per cent gross domestic product growth per annum in the least developed countries from the global SDG framework. Growth rate, 7%, number of period 15 years, initial value=GDP in 2015, final value=22.98</t>
  </si>
  <si>
    <t>Atmospheric Concentration CO2</t>
  </si>
  <si>
    <t>ppm</t>
  </si>
  <si>
    <t>Reference data is from NOAA-ESRL. Green target is based on maximum CO2 concentartion (480ppm) that could lead to 1.5-2c by 2100. Yellow target is based on maximum CO2 concentartion (580ppm) that could lead to 2-3c by 2100. Red target is based on maximum CO2 concentartion (650ppm) that could lead to 3-4c by 2100. The CO2 budegt left from 2015 was distributed between 2015 and 2100 and then the maximum CO2 allowed for 2030 was calculated</t>
  </si>
  <si>
    <t>Atmospheric CO2 concentration (ppm)</t>
  </si>
  <si>
    <t>Global improvement</t>
  </si>
  <si>
    <t>Data is only based on OECD countries. The optimum value for nitogen balance is near zero</t>
  </si>
  <si>
    <t>Data is only based on the OECD countries. The optimum value for phosphorous balance is near zero</t>
  </si>
  <si>
    <t>Scale</t>
  </si>
  <si>
    <t>Renewable energy investment as a percentage of GDP was calculated based on renewable energy investment figures (measured in US$, from Bloomberg New Energy Finance) and national GDP figures (measured in current US$ from the World Bank) in 2015 for the world's largest ten investors. The global leel was calculated based on 286 billion USD investment in 2015 devided by the 73965 billion USD GDP in 2015, in percent</t>
  </si>
  <si>
    <t>Weak target 2030</t>
  </si>
  <si>
    <t>Ambitious target 2030</t>
  </si>
  <si>
    <t>Moderate target 2030</t>
  </si>
  <si>
    <t>Ambitious target 2050</t>
  </si>
  <si>
    <t>Moderate target 2050</t>
  </si>
  <si>
    <t>Weak target 2050</t>
  </si>
  <si>
    <t>Ambitious target 2100</t>
  </si>
  <si>
    <t>Moderate target 2100</t>
  </si>
  <si>
    <t>Weak target 2100</t>
  </si>
  <si>
    <t>Weak target 21002</t>
  </si>
  <si>
    <t>Ambitious target improvement rate 2030</t>
  </si>
  <si>
    <t>Ambitious target improvement rate 2050</t>
  </si>
  <si>
    <t>Ambitious target improvement rate 2100</t>
  </si>
  <si>
    <t>Justification for 2030/2050/2100 ambitious targets</t>
  </si>
  <si>
    <t>Red target</t>
  </si>
  <si>
    <t>Data is only based on the OECD countries. The optimum value when phosphorous balance is near zero. We chose OECD average as the top performer</t>
  </si>
  <si>
    <t>Given the gap from the world average to the performance of top performer, we chose 75% of top performers value.</t>
  </si>
  <si>
    <t>Given the gap from the world average to the performance of top performer, we chose 90% of top performers value.</t>
  </si>
  <si>
    <t>Given the gap from the world average to the performance of top performer, we chose 10 times higher than the top performers value.</t>
  </si>
  <si>
    <t>Goal 4 emphasises education for all. But given the gap from the world average to the performance of top performer, we chose 50% of the current value as ambitious target.</t>
  </si>
  <si>
    <t>Given the gap from the world average to the performance of top performer, we chose 80% of top performers value.</t>
  </si>
  <si>
    <t>Given the gap from the world average to the performance of top performer, we chose 50% of top performers value.</t>
  </si>
  <si>
    <t>50% reduction in energy intensity of GDP based on the target for doubling improvement in energy efficiency. But given the gap from the world average to the performance of top performer, we chose 25% reduction by 2030</t>
  </si>
  <si>
    <t>Given the gap from the world average to the performance of top performer, we chose 75% of top performers value for 2030, 100% for 2050, and 130% for 2100.</t>
  </si>
  <si>
    <t>Given the gap from the world average to the performance of top performer, we chose 90% of top performers value for 2030, 100% for 2050, and 110%for 2100</t>
  </si>
  <si>
    <t>Given the gap from the world average to the performance of top performer, we chose 90% of top performers value for 2030, 100% for 2050, and the maximum value (1) for 2100</t>
  </si>
  <si>
    <t>Given the gap from the world average to the performance of top performer, we chose 10 times higher than the top performers value for 2030, 5 times higher for 2050, and minimum value (0) for 2100</t>
  </si>
  <si>
    <t>Goal 4 emphasises education for all. But given the gap from the world average to the performance of top performer, we chose 50% of the current value as ambitious target in 2030, 20% of current value for 2050, and zero for 2100</t>
  </si>
  <si>
    <t>Given the gap from the world average to the performance of top performer, we chose 80% of top performers value for 2030, 100% for 2050, and maximum (15 years) for 2100</t>
  </si>
  <si>
    <t>Given the gap from the world average to the performance of top performer, we chose 50% of top performers value for 2030, 100% for 2050, and 120% for 2100</t>
  </si>
  <si>
    <t>World Bank data includes hydro. The current data was calculated based on Primary energy: Consumption by fuel table in BP Statistical Review
of World Energy 2020 and 2019. The consumption calculation is (renewable/(oil+gas+coal+renewable))*100. The green target is from IEA 2012 NPS 2030 Scenario based on doubling the share of renewable by 2030 set by  the UN SE4ALL Initiative in November 2011, see Table 2 in IRENA: https://irena.org/-/media/Files/IRENA/Agency/Publication/2013/IRENA-REMAP-2030-working-paper.pdf. Target in 2050 is 3 times higher, and in 2100 is 5 times higher than 2030</t>
  </si>
  <si>
    <t>The current data was calculated based on Primary energy: Consumption by fuel table in BP Statistical Review
of World Energy 2020 and 2019. The consumption calculation is ((oil+gas+coal)/(oil+gas+coal+renewable))*100. The green target is calculated based the technical optimum share of renewable (17%) which was dervied from IEA 2012 NPS 2030 Scenario based on doubling the share of renewable by 2030 set by  the UN SE4ALL Initiative in November 2011, see Table 2 in IRENA: https://irena.org/-/media/Files/IRENA/Agency/Publication/2013/IRENA-REMAP-2030-working-paper.pdf. Targets in 2050 and 2100 are calculated based on difference from the targets set for the share of renewable.</t>
  </si>
  <si>
    <t>Green target based on at least 7 per cent gross domestic product growth per annum in the least developed countries from the global SDG framework. Growth rate, 7%, number of period 15 years, initial value=GDP in 2015, final value=22.98. The targets in 2050 and in 2100 are maximum estimates with REMIND-MAGPIE in SSP5 Baseline</t>
  </si>
  <si>
    <t>Reference 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</si>
  <si>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IEA New Policies Scenario projection of renewable energy production in 2030, Table 3 from https://irena.org/-/media/Files/IRENA/Agency/Publication/2013/IRENA-REMAP-2030-working-paper.pdf Targets in 2030 and 2050 are based on MESSAGE-GLOBIOM SSP2 Aseline projection</t>
  </si>
  <si>
    <t>Informed based on previous targets set in SDG Index Report. Targets in 2050 and 2100 are based on 50% and 80% lower than the green target. The numbers in each country are estimates from figures. Values include both emissions induced domestically and abroad from industries and households for the nation’s consumption. The world average is model simulation with FeliX.</t>
  </si>
  <si>
    <t xml:space="preserve">Data is only based on the OECD countries. The optimum value when phosphorous balance is near zero. We chose OECD average as the top performer for the target in 2030. Targets in 2050 and 2100 are based on 50% and 80% lower than the green target. </t>
  </si>
  <si>
    <t xml:space="preserve">Radiative forcing projection in 2030 for SSP 1 RCP 1.9 in 2100 with IMAGE as its marker model for the best value, SSP 1 RCP 2.6 as green target, SS1 RCP 4.5 as yellow target, SSP2 Baseline with MESSAGE-GLOBIOM as the weak target, SSP5 RCP 6 with REMIND-MAGPIE as the red target,  SSP 5 RCP 8.5 as the worst value. </t>
  </si>
  <si>
    <t>Global mean temperature increase projection for 2005, 2010, 2020 from SSP2 Baseline with MESSAGE GLOBOIM. In 2030 for SSP 1 RCP 1.9 with IMAGE as its marker model for the best value, SSP1 RCP 2.6 as green target, SSP1 RCP 4.5 as yellow target, SSP2 Baseline with MESSAGE-GLOBIOM as the weak target, SSP5 RCP 6 with REMIND_MAGPIE as the marker model for red target, SSP5 RCP 8.5 as the worst value</t>
  </si>
  <si>
    <t>Given the gap from the world average to the performance of top performer, we chose 90% of top performers value for 2030, 100% for 2050, and 110% for 2100.</t>
  </si>
  <si>
    <t xml:space="preserve">Ambitious targetsin 2030, 2050, 2100 are calculated based on percentage of growth in crops production based on the SSP5-Baseline with IMAGE. Plant production in data is based on the production quanitity of Cereals - Excluding Beer, Starchy Roots,Pulses, treenuts, oilcrops, vegetables, and fuits (exculding wine). </t>
  </si>
  <si>
    <t>Ambitious targets in 2030, 2050, 2100 are calculated based on percentage of growth in livestock production based on the SSP5-Baseline with IMAGE. Meat production is the aggregation of bovine meat, mutton and goat meat, pig meat, poultry, and meat others.</t>
  </si>
  <si>
    <t>Reference data is from the SSP 2 Baseline without CCS with the MESSAGE-GLOBIOM model as the marker model in SSP 2. Given the uncertainty in model projections, we selected the model whose projected value in 2020 was closest to FeliX projection. The improvement in 2030 is based on 100% growth in the current production, in 2050 200% growth, and 2100 300% growth</t>
  </si>
  <si>
    <t>No biodiversity loss and no extinction of endangered species. Data from Table 8 Secretariat of the Convention for Biological Diversity (CBD), Cross-roads of Life on Earth - Exploring means to meet the 2010 Biodiversity Target, 2007. the ambitious target in 2030 is no loss from current species. The ambitious target in 2050 is max 10% reduction, and in 2100 is max 30%</t>
  </si>
  <si>
    <t>Data is from the SSP 2 Baseline without CCS with the REMIND-MAGPIE model. Given the uncertainty in model projections, we selected the model whose projected value in 2020 was closest to FeliX projection. We assumed that the decline in oil and gas can be slower compared to coal.</t>
  </si>
  <si>
    <t>SSP Socioeconomic Variation Time</t>
  </si>
  <si>
    <t>SSP Energy Demand Variation Time</t>
  </si>
  <si>
    <t>SSP Energy Technology Variation Time</t>
  </si>
  <si>
    <t>SSP Energy Production Variation Time</t>
  </si>
  <si>
    <t>SSP Land Use Change Variation Time</t>
  </si>
  <si>
    <t>SSP Food and Diet Variation Time</t>
  </si>
  <si>
    <t>https://www.ipcc.ch/site/assets/uploads/2018/02/SYR_AR5_FINAL_full.pdf</t>
  </si>
  <si>
    <t>Reference data is from NOAA-ESRL. Targets are set based on AR5 IPCC report Table SPM.1. Ambitious target is based on maximum CO2 concentartion (480ppm) that could lead to 1.5-2c by 2100. Moderate target is based on maximum CO2 concentartion (580ppm) that could lead to 2-3c by 2100. Weak target is based on maximum CO2 concentartion (650ppm) that could lead to 3-4c by 2100. Red target is based on 720ppm concentration leading likely to 4 degree or beyond. The CO2 budegt left from 2015 was distributed between 2015 and 2100 and then the maximum CO2 allowed for 2030 was calculated.</t>
  </si>
  <si>
    <t xml:space="preserve">The dietary energy supply as a percentage of the average dietary energy requirement. </t>
  </si>
  <si>
    <t>The number of births per 1,000 by women between the age of 15-19.</t>
  </si>
  <si>
    <t>Birth Gender Fraction[female]*Total Fertility*
((Adolescent Fertile Population/Adolescent Fertile Population)*Per 1000 Women)/
Reproductive Lifetime</t>
  </si>
  <si>
    <t>Life Expectancy Normal*Lifetime Multiplier from Food*Lifetime Multiplier from Health Services*Lifetime Multiplier from Climate Risk</t>
  </si>
  <si>
    <t>Agricultural Land/Total Land</t>
  </si>
  <si>
    <t>((Market Share Biomass+Market Share Solar+Market Share Wind)*Energy Consumption/Energy Demand)*100</t>
  </si>
  <si>
    <t>((Market Share Coal+Market Share Gas+Market Share Oil)*Energy Consumption/Energy Demand)*100</t>
  </si>
  <si>
    <t>Solar Energy Production*Mtoe into EJ</t>
  </si>
  <si>
    <t>Wind Energy Production*Mtoe into EJ</t>
  </si>
  <si>
    <t>Biomass Energy Production*Mtoe into EJ</t>
  </si>
  <si>
    <t>Oil Production*Mtoe into EJ</t>
  </si>
  <si>
    <t>Gas Production*Mtoe into EJ</t>
  </si>
  <si>
    <t>Coal Production*Mtoe into EJ</t>
  </si>
  <si>
    <t>Energy Production*Mtoe to MJ/Gross World Product</t>
  </si>
  <si>
    <t>GWP per Capita*"$ into $thousand"</t>
  </si>
  <si>
    <t>(Total CO2 Emissions from Fossil Energy)*ton to kg/Gross World Product</t>
  </si>
  <si>
    <t>(Commercial N application for agriculture+Nitrogen application with manure-Total N uptake rate)*ton to kg/(Land Allocated for Animal Calories+sum(Area harvested[PlantFood!]))</t>
  </si>
  <si>
    <t>(Denitrification Rate+Nitrogen Leaching and Runoff Rate)*ton to kg/Population</t>
  </si>
  <si>
    <t>Commercial N application for agriculture*ton to 1000ton</t>
  </si>
  <si>
    <t>(Commercial P application for agriculture)*ton to 1000ton</t>
  </si>
  <si>
    <t>(Commercial P application for agriculture+Phosphorus application with manure-Total P uptake rate)*ton to kg/(Land Allocated for Animal Calories+sum(Area harvested[PlantFood!]))</t>
  </si>
  <si>
    <t>C in Atmosphere/GtC to TonC/ppm to GtC</t>
  </si>
  <si>
    <t>Total CO2 Emissions from Land Use/Population</t>
  </si>
  <si>
    <t>Total CO2 Emissions from Agriculture/Population</t>
  </si>
  <si>
    <t>C Emission from Land Use*CO2 to C</t>
  </si>
  <si>
    <t>sum(CO2 emission rate of the agriculture sector[FoodCategories!])</t>
  </si>
  <si>
    <t>Fossil Energy CO2 Emissions per Capita+Renewable CO2 Emissions per Capita</t>
  </si>
  <si>
    <t>Total CO2 Emissions from Fossil Energy/Population</t>
  </si>
  <si>
    <t>Total CO2 emissions per person per year. This includes gases from the burning of fossil fuels and cement manufacture, but excludes emissions from land use such as deforestation.</t>
  </si>
  <si>
    <t>CO2 Radiative Forcing+Other Forcings</t>
  </si>
  <si>
    <t>CO2 Radiative Forcing Coefficient*LN(C in Atmosphere/Preindustrial C in Atmosphere)</t>
  </si>
  <si>
    <t>Heat in Atmosphere and Upper Ocean/Atmospheric and Upper Ocean Heat Capacity</t>
  </si>
  <si>
    <t>(Forest Land/Total Land Area)*100</t>
  </si>
  <si>
    <t>Species Regeneration Rate-Species Extinction Rate</t>
  </si>
  <si>
    <t>(sum(Food supply in kcal[FoodCategories!])/sum(Annual Caloric Demand[FoodCategories!]))*100</t>
  </si>
  <si>
    <t>(Food production rate[Pulses]+Food production rate[Grains])*ton to kg/(Area harvested[Pulses]+Area harvested[Grains])</t>
  </si>
  <si>
    <t>(Food production rate[Pulses]+Food production rate[Grains]+Food production rate[VegFruits]+Food production rate[OtherCrops])*ton to 1000ton</t>
  </si>
  <si>
    <t>(Food production rate[PasMeat]+Food production rate[CropMeat])*ton to 1000ton</t>
  </si>
  <si>
    <t>(Forestation from Agricultural Land+Forestation from Other Land-Deforestation to Agricultural Land-Deforestation to Urban Land)*ha into million ha</t>
  </si>
  <si>
    <t>((sum(Population Cohorts[Gender!,"10-14"])-sum(Population with No or Incomplete Education[Gender!,"10-14"]))/(sum(Population Cohorts[Gender!,"10-14"])))*100</t>
  </si>
  <si>
    <t>(Total Duration in Primary+Total Duration in Secondary+Total Duration in Tertiary)/sum(Population Cohorts[Gender!, TertiaryEdButYoungest!])</t>
  </si>
  <si>
    <t>((sum(Tertiary Education Graduates[Gender!,"25-29"])+sum(Tertiary Education Graduates[Gender!,"30-34"]))/(sum(Population Cohorts[Gender!,"25-29"])+sum(Population Cohorts[Gender!,"30-34"])))*100</t>
  </si>
  <si>
    <t>Permanent meadows and pastures*ha into million ha</t>
  </si>
  <si>
    <t>(Arable Land+Permanent crops)*ha into million ha</t>
  </si>
  <si>
    <r>
      <t>(Health index</t>
    </r>
    <r>
      <rPr>
        <vertAlign val="superscript"/>
        <sz val="11"/>
        <color theme="1"/>
        <rFont val="Calibri"/>
        <family val="2"/>
        <scheme val="minor"/>
      </rPr>
      <t>1/3</t>
    </r>
    <r>
      <rPr>
        <sz val="11"/>
        <color theme="1"/>
        <rFont val="Calibri"/>
        <family val="2"/>
        <scheme val="minor"/>
      </rPr>
      <t>)*(Income index</t>
    </r>
    <r>
      <rPr>
        <vertAlign val="superscript"/>
        <sz val="11"/>
        <color theme="1"/>
        <rFont val="Calibri"/>
        <family val="2"/>
        <scheme val="minor"/>
      </rPr>
      <t>1/3</t>
    </r>
    <r>
      <rPr>
        <sz val="11"/>
        <color theme="1"/>
        <rFont val="Calibri"/>
        <family val="2"/>
        <scheme val="minor"/>
      </rPr>
      <t>)*(Education indexOLD</t>
    </r>
    <r>
      <rPr>
        <vertAlign val="superscript"/>
        <sz val="11"/>
        <color theme="1"/>
        <rFont val="Calibri"/>
        <family val="2"/>
        <scheme val="minor"/>
      </rPr>
      <t>1/3</t>
    </r>
    <r>
      <rPr>
        <sz val="11"/>
        <color theme="1"/>
        <rFont val="Calibri"/>
        <family val="2"/>
        <scheme val="minor"/>
      </rPr>
      <t>)</t>
    </r>
  </si>
  <si>
    <t xml:space="preserve">Reduce environmental pressures, such as declining soil fertility in the case of a nutrient deficit, or for a nutrient surplus and the risk of polluting soil, water and air which can be harmful to human health and the environment </t>
  </si>
  <si>
    <t>Indicator</t>
  </si>
  <si>
    <r>
      <t>(Health index</t>
    </r>
    <r>
      <rPr>
        <vertAlign val="superscript"/>
        <sz val="11"/>
        <color theme="1"/>
        <rFont val="Times New Roman"/>
        <family val="1"/>
      </rPr>
      <t>1/3</t>
    </r>
    <r>
      <rPr>
        <sz val="11"/>
        <color theme="1"/>
        <rFont val="Times New Roman"/>
        <family val="1"/>
      </rPr>
      <t>)*(Income index</t>
    </r>
    <r>
      <rPr>
        <vertAlign val="superscript"/>
        <sz val="11"/>
        <color theme="1"/>
        <rFont val="Times New Roman"/>
        <family val="1"/>
      </rPr>
      <t>1/3</t>
    </r>
    <r>
      <rPr>
        <sz val="11"/>
        <color theme="1"/>
        <rFont val="Times New Roman"/>
        <family val="1"/>
      </rPr>
      <t>)*(Education indexOLD</t>
    </r>
    <r>
      <rPr>
        <vertAlign val="superscript"/>
        <sz val="11"/>
        <color theme="1"/>
        <rFont val="Times New Roman"/>
        <family val="1"/>
      </rPr>
      <t>1/3</t>
    </r>
    <r>
      <rPr>
        <sz val="11"/>
        <color theme="1"/>
        <rFont val="Times New Roman"/>
        <family val="1"/>
      </rPr>
      <t>)</t>
    </r>
  </si>
  <si>
    <t>Well-being improvement</t>
  </si>
  <si>
    <t>Clean energy production</t>
  </si>
  <si>
    <t>Sustainable food production</t>
  </si>
  <si>
    <t>Education quality enhancement</t>
  </si>
  <si>
    <t>Inclusive economic growth</t>
  </si>
  <si>
    <t>Agricultural production footprint</t>
  </si>
  <si>
    <t>Climate change mitigation</t>
  </si>
  <si>
    <t>Nature and biodiversity conservation</t>
  </si>
  <si>
    <t>2.1 By 2030, end hunger and ensure access by all people to safe, nutritious and sufficient food</t>
  </si>
  <si>
    <t>2.4 By 2030, ensure sustainable food production systems and implement resilient agricultural practices that increase productivity and production</t>
  </si>
  <si>
    <t>3.7 By 2030, ensure universal access to sexual and reproductive health-care services</t>
  </si>
  <si>
    <t>3.4 By 2030, reduce by one third premature mortality from non-communicable diseases</t>
  </si>
  <si>
    <t>3.3 By 2030, end the epidemics of communicable diseases</t>
  </si>
  <si>
    <t>4.1 By 2030, ensure that all girls and boys complete free, equitable and quality primary and secondary education</t>
  </si>
  <si>
    <t>4.3 By 2030, ensure equal access for all women and men to affordable and quality technical, vocational and tertiary education</t>
  </si>
  <si>
    <t>8.1 Sustain per capita economic growth, at least 7 per cent gross domestic product growth per annum in the least developed countries</t>
  </si>
  <si>
    <t>8.4 Improve progressively, through 2030, global resource efficiency in consumption and production</t>
  </si>
  <si>
    <t>15.1 By 2020, ensure the conservation, restoration and sustainable use of terrestrial and inland freshwater ecosystems and their services, in particular forests</t>
  </si>
  <si>
    <t>15.2 By 2020, promote the implementation of sustainable management of all types of forests, halt deforestation</t>
  </si>
  <si>
    <t>15.5 Take urgent and significant action to reduce the degradation of natural habitats, halt the loss of biodiversity</t>
  </si>
  <si>
    <t>Increase sustainable food production</t>
  </si>
  <si>
    <t>Improve the productivity and yield from lands</t>
  </si>
  <si>
    <t>Reduce environmental pressures, such as declining soil fertility in the case of a nutrient deficit, or for a nutrient surplus and the risk of polluting soil, water and air which can be harmful to human health and the environment</t>
  </si>
  <si>
    <t>Ambitious</t>
  </si>
  <si>
    <t>Moderate</t>
  </si>
  <si>
    <t>Weak</t>
  </si>
  <si>
    <t>Fertilizer use and footprint</t>
  </si>
  <si>
    <t>Forest and biodiversity conservation</t>
  </si>
  <si>
    <t>Average Dietary Energy Supply Adequacy (%) | FAO</t>
  </si>
  <si>
    <t>Cereal Yield (kg/(year*ha)) | SDSN, FAO, World Bank</t>
  </si>
  <si>
    <t>Plant Based Food Production (1000ton/year) | FAO</t>
  </si>
  <si>
    <t>Meat Based Food Production (1000ton/year) | FAO</t>
  </si>
  <si>
    <t>Ratio of Agricultural Lands to Total Lands (-) | FAO</t>
  </si>
  <si>
    <t>Pasture Land Indicator (million ha) | IIASA</t>
  </si>
  <si>
    <t>Total Croplands Indicator (million ha) | IIASA</t>
  </si>
  <si>
    <t>Life Expectancy (year) | SDSN, WHO, World Bank</t>
  </si>
  <si>
    <t>Human Development Index (-) | UNDP</t>
  </si>
  <si>
    <t>Adolescent Fertility Rate (person/year) | SDSN, UNDP</t>
  </si>
  <si>
    <t>Children Out of Primary School Rate (%) | UNESCO</t>
  </si>
  <si>
    <t>Mean Years of Schooling (year) | UNESCO</t>
  </si>
  <si>
    <t>Population Age 25 to 34 with Tertiary Education (%) | SDSN, OECD</t>
  </si>
  <si>
    <t>Share of Renewable Energy Consumption (%) | UNSC, UNDP</t>
  </si>
  <si>
    <t>Share of Fossil Energy Consumption (%) | UNDP</t>
  </si>
  <si>
    <t>Solar Energy Production Indicator (EJ/year) | IIASA</t>
  </si>
  <si>
    <t>Wind Energy Production Indicator (EJ/year) | IIASA</t>
  </si>
  <si>
    <t>Biomass Energy Production Indicator (EJ/year) | IIASA</t>
  </si>
  <si>
    <t>Oil Production Indicator (EJ/year) | IIASA</t>
  </si>
  <si>
    <t>Gas Production Indicator (EJ/year) | IIASA</t>
  </si>
  <si>
    <t>Coal Production Indicator (EJ/year) | IIASA</t>
  </si>
  <si>
    <t>Energy Intensity of GDP (mj/$) | UNSC, World Bank</t>
  </si>
  <si>
    <t>Mean Species Abundance (%) | CBD</t>
  </si>
  <si>
    <t>GDP per Capita ($1000/(person*year)) | UNSC, World Bank</t>
  </si>
  <si>
    <t>Forest Land Indicator (million ha) | IIASA</t>
  </si>
  <si>
    <t>Forest to Total Land Area (%) | FAO, World Bank</t>
  </si>
  <si>
    <t>CO2 Emissions per Capita (ton CO2/(year*person)) | World Bank</t>
  </si>
  <si>
    <t>Total Energy CO2 Emissions per Capita (ton CO2/(year*person)) | UNFCCC</t>
  </si>
  <si>
    <t>Total CO2 Emissions from Agriculture (ton CO2/year) | FAO</t>
  </si>
  <si>
    <t>Agriculture CO2 Emissions per Capita (ton CO2/(year*person)) | FAO</t>
  </si>
  <si>
    <t>Land use CO2 Emissions per Capita (ton CO2/(year*person)) | FAO</t>
  </si>
  <si>
    <t>Total CO2 Emissions from Land Use (ton CO2/year) | FAO</t>
  </si>
  <si>
    <t>Phosphorous Fertilizer Use in Agriculture (1000ton/year) | IFASTAT</t>
  </si>
  <si>
    <t>Nitrogen Fertilizer Use in Agriculture (1000ton/year) | IFASTAT</t>
  </si>
  <si>
    <t>Food and Agriculture Nitrogen Balance (kg/(year*ha)) | OECD</t>
  </si>
  <si>
    <t>CO2 Emissions per GDP (kgCO2/$) | World Bank, UNDP</t>
  </si>
  <si>
    <t>Food and Agriculture Nitrogen Emissions per Capita (kg/(year*person)) | Oita et al. (2016)</t>
  </si>
  <si>
    <t>Atmospheric Concentration CO2 (%) | NOAA</t>
  </si>
  <si>
    <t>Temperature Change from Preindustrial (degree C) | IIASA</t>
  </si>
  <si>
    <t>CO2 Radiative Forcing (w/m2) | IPCC, IIASA</t>
  </si>
  <si>
    <t>Total Radiative Forcing (w/m2) | IPCC, IIASA</t>
  </si>
  <si>
    <t>Food and Agriculture Phosphorous Balance (kg/(year*ha) | OECD</t>
  </si>
  <si>
    <t>Global average in 2015: 121</t>
  </si>
  <si>
    <t>Global average in 2015: 3938.78</t>
  </si>
  <si>
    <t>Global average in 2015: 6579602</t>
  </si>
  <si>
    <t>Global average in 2015: 324246</t>
  </si>
  <si>
    <t>Global average in 2015: 0.3692</t>
  </si>
  <si>
    <t>Global average in 2020: 3419</t>
  </si>
  <si>
    <t>Global average in 2020: 1618</t>
  </si>
  <si>
    <t>Global average in 2016: 72.18</t>
  </si>
  <si>
    <t>Global average in 2016: 0.73</t>
  </si>
  <si>
    <t>Global average in 2016: 43.36</t>
  </si>
  <si>
    <t>Global average in 2016: 17.36</t>
  </si>
  <si>
    <t>Global average in 2016: 8.4</t>
  </si>
  <si>
    <t>Global average in 2017: 4.10</t>
  </si>
  <si>
    <t>Global average in 2014: 95.90</t>
  </si>
  <si>
    <t>Global average in 2020: 0.30</t>
  </si>
  <si>
    <t>Global average in 2020: 1.20</t>
  </si>
  <si>
    <t>Global average in 2020: 42.62</t>
  </si>
  <si>
    <t>Global average in 2020: 195</t>
  </si>
  <si>
    <t>Global average in 2020: 152</t>
  </si>
  <si>
    <t>Global average in 2020: 143</t>
  </si>
  <si>
    <t>Global average in 2015: 5.13</t>
  </si>
  <si>
    <t>Global average in 2016: 10.26</t>
  </si>
  <si>
    <t>Global average in 2014: 0.49</t>
  </si>
  <si>
    <t>Global average in 2016: 9.06</t>
  </si>
  <si>
    <t>Global average in 2015: 106330</t>
  </si>
  <si>
    <t>Global average in 2015: 18460</t>
  </si>
  <si>
    <t>Global average in 2014: 397</t>
  </si>
  <si>
    <t>Global average in 2015: 4211322925</t>
  </si>
  <si>
    <t>Global average in 2015: 0.57</t>
  </si>
  <si>
    <t>Global average in 2015: 0.79</t>
  </si>
  <si>
    <t>Global average in 2015: 5817775475</t>
  </si>
  <si>
    <t>Global average in 2015: 4.54</t>
  </si>
  <si>
    <t>Global average in 2014: 4.98</t>
  </si>
  <si>
    <t>Global average in 2011: 2.83</t>
  </si>
  <si>
    <t>Global average in 2011: 1.82</t>
  </si>
  <si>
    <t>Global average in 2020: 1.24</t>
  </si>
  <si>
    <t>Global average in 2015: 30.74</t>
  </si>
  <si>
    <t>Global average in 2020: 3698</t>
  </si>
  <si>
    <t>Global average in 2000: 70</t>
  </si>
  <si>
    <t>OECD average in 2017: 43.73</t>
  </si>
  <si>
    <t>OECD average in 2015: 66.27</t>
  </si>
  <si>
    <t>OECD average in 2015: 5.68</t>
  </si>
  <si>
    <t>Health improvement</t>
  </si>
  <si>
    <t>Emissions abatement</t>
  </si>
  <si>
    <t>Ambitious targets in 2030, 2050, 2100 are based 10%, 20%, and 30% reduction in the ratio of agricultural lands to total lands from the base year value.</t>
  </si>
  <si>
    <t>Given the gap from the world average to the performance of top performers, we choose 90% of top performers value for 2030, 100% of top performers for 2050, and the maximum feasible value of the indicator for 2100.</t>
  </si>
  <si>
    <t>Given the gap from the world average to the performance of top performers, we choose 90% of top performers value for 2030, 100% for 2050, and 110%for 2100.</t>
  </si>
  <si>
    <t>Given the gap from the world average to the performance of top performers, we choose 10 times higher than the top performers value for 2030, 5 times higher for 2050, and minimum feasible value for 2100.</t>
  </si>
  <si>
    <t>The ambitious target is from IEA 2012 NPS 2030 Scenario based on doubling the share of renewable by 2030 set by  the UN SE4ALL Initiative in November 2011, also see Table 2 in the IRENA report: https://irena.org/-/media/Files/IRENA/Agency/Publication/2013/IRENA-REMAP-2030-working-paper.pdf. Target in 2050 is 3 times higher, and in 2100 is 5 times higher than the target in 2030.</t>
  </si>
  <si>
    <t>The ambitious target is calculated based the technical optimum share of renewable (17%) derived from IEA 2012 NPS 2030 Scenario based on doubling the share of renewable by 2030 set by  the UN SE4ALL Initiative in November 2011. Also see Table 2 in the IRENA report: https://irena.org/-/media/Files/IRENA/Agency/Publication/2013/IRENA-REMAP-2030-working-paper.pdf. Targets in 2050 and 2100 are calculated based on difference from the targets set for the share of renewable.</t>
  </si>
  <si>
    <t>The ambitious target is based on IEA New Policies Scenario projection of renewable energy production in 2030, see Table 3 from: https://irena.org/-/media/Files/IRENA/Agency/Publication/2013/IRENA-REMAP-2030-working-paper.pdf. Targets in 2050 and 2100 are based on IMAGE SSP1-Baseline projection.</t>
  </si>
  <si>
    <t>The ambitious targets in 2030, 2050, and 2100 are based on 100%, 200%, and 300% growth from the SSP2-Baseline without CCS in the base year 2020 with the MESSAGE-GLOBIOM model as the marker model in SSP 2.</t>
  </si>
  <si>
    <t>The ambitious targets in 2030, 2050, and 2100 are based on 30%, 50% and 100% reduction from the SSP2-Baseline without CCS in the base year 2020 with the MESSAGE-GLOBIOM model as the marker model in SSP 2. We assumed that the decline in oil and gas can be slower compared to coal.</t>
  </si>
  <si>
    <t>The ambitious targets in 2030, 2050, and 2100 are based on 50%, 70% and 100% reduction from the SSP2-Baseline without CCS in the base year 2020 with the MESSAGE-GLOBIOM model as the marker model in SSP 2. We assumed that the decline in coal is the fastest among fossil fuels.</t>
  </si>
  <si>
    <t>Ambitious targets in 2030, 2050, and 2100 are based on 50%, 80% and 100% reduction in emissions from the base year value.</t>
  </si>
  <si>
    <t xml:space="preserve">Informed based on previous targets set in the SDSN's SDG Report. Targets in 2050 and 2100 are based on 50% and 80% lower than the ambitious target in 2030. </t>
  </si>
  <si>
    <t>Ambitious targets in 2030, 2050, and 2100 are based on 10%, 20%., and 30% reduction from the base year value.</t>
  </si>
  <si>
    <t>Ambitious targets in 2030, 2050, and 2100 are based on 5%, 20%, and 50% reduction from the base year value.</t>
  </si>
  <si>
    <t>Ambitious targets in 2030, 2050, and 2100 are based on 30%, 50%, and 70% reduction from the base year value.</t>
  </si>
  <si>
    <t>Ambitious targets in 2030, 2050, and 2100 are based on 7%, 15%, and 30% increase from the base year value.</t>
  </si>
  <si>
    <t>Ambitious targets in 2030, 2050, and 2100 are based on 10%, 20%, and 30% increase from the base year value.</t>
  </si>
  <si>
    <t>Target setting method</t>
  </si>
  <si>
    <t>Justification for the target levels</t>
  </si>
  <si>
    <t>Data from FAO: http://www.fao.org/faostat/en/#data/FS</t>
  </si>
  <si>
    <t>Given the gap from the world average to the performance of top performers, we chose 75% of top performer value for 2030, 100% for 2050, and 130% for 2100.</t>
  </si>
  <si>
    <t>Data from the World Bank: https://data.worldbank.org/indicator/AG.YLD.CREL.KG?most_recent_value_desc=false</t>
  </si>
  <si>
    <t>The base year data for plant production is the production quanitity of cereals - excluding Beer, starchy roots, pulses, treenuts, oilcrops, vegetables, and fuits (exculding wine). Data from FAO: http://www.fao.org/faostat/en/#data/FBS</t>
  </si>
  <si>
    <t>Meat production is the aggregation of bovine meat, mutton and goat meat, pig meat, poultry, and meat others. Data from FAO: http://www.fao.org/faostat/en/#data/FBS</t>
  </si>
  <si>
    <t>Data from http://www.fao.org/faostat/en/#data/EL</t>
  </si>
  <si>
    <t>Data  from the SSP2-Baseline simulation in 2020 with the MESSAGE-GLOBIOM model as the marker model in SSP2: https://tntcat.iiasa.ac.at/SspDb/dsd?Action=htmlpage&amp;page=about</t>
  </si>
  <si>
    <t>Data from the World Bank: https://data.worldbank.org/indicator/SP.DYN.LE00.IN?view=chart</t>
  </si>
  <si>
    <t>Data from UNDP: http://hdr.undp.org/en/indicators/137506</t>
  </si>
  <si>
    <t>Data from the World Bank: https://data.worldbank.org/indicator/SP.ADO.TFRT?view=chart</t>
  </si>
  <si>
    <t>Data from UNESCO: http://data.uis.unesco.org/</t>
  </si>
  <si>
    <t>Data from UNDP: http://hdr.undp.org/en/indicators/103006</t>
  </si>
  <si>
    <t>Data from OECD: https://www.oecd-ilibrary.org/education/education-at-a-glance-2018/percentage-of-25-34-year-olds-with-tertiary-education-by-level-of-tertiary-education-2017_eag-2018-graph11-en</t>
  </si>
  <si>
    <t>The base year data is based on Primary energy: Consumption by fuel table in BP Statistical Review
of World Energy 2020 and 2019. The consumption calculation is ((oil+gas+coal)/(oil+gas+coal+renewable))*100: https://www.bp.com/en/global/corporate/energy-economics/statistical-review-of-world-energy.html</t>
  </si>
  <si>
    <t>The base year data is based on Primary energy: Consumption by fuel table in BP Statistical Review of World Energy 2020 and 2019. The consumption calculation is (renewable/(oil+gas+coal+renewable))*100: https://www.bp.com/en/global/corporate/energy-economics/statistical-review-of-world-energy.html</t>
  </si>
  <si>
    <t>The base year data is from the SSP2-Baseline without CCS with the REMIND-MAGPIE model. Given the uncertainty in model projections, we selected the model whose projected value in 2020 is closest to FeliX projection: https://tntcat.iiasa.ac.at/SspDb/dsd?Action=htmlpage&amp;page=about</t>
  </si>
  <si>
    <t>The base year data is from the SSP2-Baseline without CCS with the MESSAGE-GLOBIOM model.  Given the uncertainty in model projections, we selected the model whose projected value in 2020 is closest to FeliX projection: https://tntcat.iiasa.ac.at/SspDb/dsd?Action=htmlpage&amp;page=about</t>
  </si>
  <si>
    <t>The base year data is from the SSP2-Baseline simulation with the AIM/CGE model. Given the uncertainty in model projections, we selected the model whose projected value in 2020 is closest to FeliX projection: https://tntcat.iiasa.ac.at/SspDb/dsd?Action=htmlpage&amp;page=about</t>
  </si>
  <si>
    <t>The base year data is from the SSP2-Baseline without CCS with the IMAGE model. Given the uncertainty in model projections, we selected the model whose projected value in 2020 is closest to FeliX projection: https://tntcat.iiasa.ac.at/SspDb/dsd?Action=htmlpage&amp;page=about</t>
  </si>
  <si>
    <t>The base year data is from the SSP2-Baseline without CCS with the MESSAGE-GLOBIOM. Given the uncertainty in model projections, we selected the model whose projected value in 2020 is closest to FeliX projection: : https://tntcat.iiasa.ac.at/SspDb/dsd?Action=htmlpage&amp;page=about</t>
  </si>
  <si>
    <t>Data from the World Bank: https://data.worldbank.org/indicator/EG.EGY.PRIM.PP.KD</t>
  </si>
  <si>
    <t>Data from the World Bank: https://data.worldbank.org/indicator/NY.GDP.PCAP.CD?view=chart</t>
  </si>
  <si>
    <t>Data from UNDP shows the values in 2010 $US: http://hdr.undp.org/en/indicators/186706</t>
  </si>
  <si>
    <t>Data from OECD: https://stats.oecd.org/</t>
  </si>
  <si>
    <t>Data in the base year is based on simulation projection with the FeliX model.</t>
  </si>
  <si>
    <t>The model calculates P content while the dataset reports P2O5. A fraction of 0.4365 was applied to the calculation of P content. Data from IFASTAT: https://www.ifastat.org/databases/plant-nutrition</t>
  </si>
  <si>
    <t>Data from IFASTAT: https://www.ifastat.org/databases/plant-nutrition</t>
  </si>
  <si>
    <t>Data in the base year from NOAA-ESRL: https://www.esrl.noaa.gov/gmd/ccgg/trends/global.html</t>
  </si>
  <si>
    <t>Data from FAO: http://www.fao.org/faostat/en/#data/GT</t>
  </si>
  <si>
    <t>The indicator values are calculated by deviding total emissions from land use (data from FAO) by total populaiton (data from FAO): http://www.fao.org/faostat/en/#data/GT</t>
  </si>
  <si>
    <t>The indicator values are calculated by deviding total emissions from agriculture (data from FAO) by total populaiton (data from FAO): http://www.fao.org/faostat/en/#data/GT</t>
  </si>
  <si>
    <t>Data from Climate Watch: https://www.climatewatchdata.org/ghg-emissions?breakBy=regions-PER_CAPITA&amp;gases=co-2&amp;regions=BRICS%2CEAP%2CEUU%2CLAC%2CLDC%2CMNA%2CNAR%2CSIDS%2CSAR%2CSSA%2CWORLD%2COECD&amp;sectors=energy</t>
  </si>
  <si>
    <t>Data from the World Bank: https://data.worldbank.org/indicator/EN.ATM.CO2E.PC?view=chart</t>
  </si>
  <si>
    <t>Data in the base year from IPCC: https://www.ipcc.ch/site/assets/uploads/2018/02/WG1AR5_Chapter08_FINAL.pdf</t>
  </si>
  <si>
    <t>Data in the base year from IIASA and is based on SSP2-Baseline projection with MESSAGE GLOBOIM: https://tntcat.iiasa.ac.at/SspDb/dsd?Action=htmlpage&amp;page=40</t>
  </si>
  <si>
    <t>Data from the World Bank: https://data.worldbank.org/indicator/AG.LND.FRST.ZS?view=chart</t>
  </si>
  <si>
    <t>Data from Secretariat of the Convention for Biological Diversity (CBD), Cross-roads of Life on Earth - Exploring means to meet the 2010 Biodiversity Target, 2007 (Table 8): https://www.cbd.int/doc/publications/cbd-ts-31.pdf</t>
  </si>
  <si>
    <t>Data source</t>
  </si>
  <si>
    <t>Clean energy and fossil fuels production</t>
  </si>
  <si>
    <t>Fossil fuels production</t>
  </si>
  <si>
    <t>Inclusive and sustainable economic growth</t>
  </si>
  <si>
    <t>Ambitious targets in 2030, 2050, 2100 are based 10%, 20%, and 30% reduction from the SSP2-Baseline projection in the base year 2020 with the MESSAGE-GLOBIOM model as the marker model in SSP 2.</t>
  </si>
  <si>
    <t>50% reduction in energy intensity of GDP based on the target for doubling improvement in energy efficiency in the original SDG framework. Given the gap between the world average and this target, we choose 25% reduction by 2030, 50% further reduction from the 2030 target by 2050, and 80% further reduction from 2030 target by 2100.</t>
  </si>
  <si>
    <t>The ambitious target in 2030 is based on at least 7 per cent gross domestic product growth per annum in the least developed countries from the global SDG framework. The GDP in 2030 was therefore calculated manually based on this growth rate from the initial value of the GDP in 2015 over 15 years period to 2030. The targets in 2050 and in 2100 are maximum estimates from the SSP database related to the REMIND-MAGPIE model in SSP5-Baseline.</t>
  </si>
  <si>
    <t>Ambitious targets are set based on AR5 IPCC report Table SPM.1. Ambitious targets in 2030, 2050, and 2100 are based on maximum CO2 concentration (480ppm) that could lead to 1.5-2c by 2100. Moderate targets in 2030, 2050, and 2100 are based on maximum CO2 concentration (580ppm) that could lead to 2-3c by 2100. Weak targets are based on maximum CO2 concentration (650ppm) that could lead to 3-4c by 2100. Worst value is based on 720ppm concentration leading likely to 4 degree or beyond. The CO2 budget left was distributed between 2015 and 2100 and then the maximum CO2 allowed for 2030, 2050, and 2100 were calculated.</t>
  </si>
  <si>
    <t>The ambitious targets in 2030, 2050, and 2100 are based on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</si>
  <si>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CO2 radiative forcing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</si>
  <si>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The ambitious targets in 2030, 2050, and 2100 are based on the temperature change projection in SSP1-RCP2.6 and the  moderate targets in 2030, 2050, and 2100 are based on SSP1-RCP4.5, both with the IMAGE model as the marker model for SSP1. The weak targets in 2030, 2050, and 2100 are based on SSP5-RCP6 projection and worst value is based on SSP5-RCP8.5, both with the REMIND-MAGPIE model as the marker for SSP5.</t>
  </si>
  <si>
    <t>No biodiversity loss and no extinction of endangered species is the ambitious target. However, given the discrepancy between the documented 2000 value and the model projection, we adjusted the  ambitious target in 2030 to about 10% higher than the 2015 FeliX model projection. The ambitious target in 2050 is then defined as 10% improvement from the target in 2030 and in 2100 is defined as 30% improvement from the 2030 target.</t>
  </si>
  <si>
    <t>The base year data for plant production is the production quantity of cereals - excluding Beer, starchy roots, pulses, treenuts, oil crops, vegetables, and fruits (excluding wine). Data from FAO: http://www.fao.org/faostat/en/#data/FBS</t>
  </si>
  <si>
    <t>The indicator values are calculated by dividing total emissions from land use (data from FAO) by total population (data from FAO): http://www.fao.org/faostat/en/#data/GT</t>
  </si>
  <si>
    <t>The indicator values are calculated by dividing total emissions from agriculture (data from FAO) by total population (data from FAO): http://www.fao.org/faostat/en/#data/GT</t>
  </si>
  <si>
    <t xml:space="preserve">Indicators and their sources, indicator documented global (or regional) value, target levels, and target justification </t>
  </si>
  <si>
    <t>Worst value 2030</t>
  </si>
  <si>
    <t>Worst value 2050</t>
  </si>
  <si>
    <t>Worst value 2100</t>
  </si>
  <si>
    <t>Pessimistic future</t>
  </si>
  <si>
    <t>Optimistic future</t>
  </si>
  <si>
    <t>Long-term effect</t>
  </si>
  <si>
    <t>Short-term effect</t>
  </si>
  <si>
    <t>Pessimistic post-pandemic</t>
  </si>
  <si>
    <t>Optimistic post-pandemic</t>
  </si>
  <si>
    <t>SE Var T</t>
  </si>
  <si>
    <t>E Var T</t>
  </si>
  <si>
    <t>L Var T</t>
  </si>
  <si>
    <t>LF S</t>
  </si>
  <si>
    <t>BG S</t>
  </si>
  <si>
    <t>NF S</t>
  </si>
  <si>
    <t>LE S</t>
  </si>
  <si>
    <t>PEM S</t>
  </si>
  <si>
    <t>PEF S</t>
  </si>
  <si>
    <t>SEM S</t>
  </si>
  <si>
    <t>SEF S</t>
  </si>
  <si>
    <t>TEM S</t>
  </si>
  <si>
    <t>TEF S</t>
  </si>
  <si>
    <t>CE S</t>
  </si>
  <si>
    <t>EGI S</t>
  </si>
  <si>
    <t>EGX S</t>
  </si>
  <si>
    <t>RCF S</t>
  </si>
  <si>
    <t>SF S</t>
  </si>
  <si>
    <t>ME S</t>
  </si>
  <si>
    <t>PEO S</t>
  </si>
  <si>
    <t>PEG S</t>
  </si>
  <si>
    <t>PEC S</t>
  </si>
  <si>
    <t>PEW S</t>
  </si>
  <si>
    <t>PEB S</t>
  </si>
  <si>
    <t>RPPE S</t>
  </si>
  <si>
    <t>RPC S</t>
  </si>
  <si>
    <t>EIGR S</t>
  </si>
  <si>
    <t>EIOR S</t>
  </si>
  <si>
    <t>WC S</t>
  </si>
  <si>
    <t>SC S</t>
  </si>
  <si>
    <t>RCB S</t>
  </si>
  <si>
    <t>RCS S</t>
  </si>
  <si>
    <t>RCW S</t>
  </si>
  <si>
    <t>FDR S</t>
  </si>
  <si>
    <t>FO S</t>
  </si>
  <si>
    <t>FG S</t>
  </si>
  <si>
    <t>FC S</t>
  </si>
  <si>
    <t>SA S</t>
  </si>
  <si>
    <t>IF S</t>
  </si>
  <si>
    <t>UC S</t>
  </si>
  <si>
    <t>MFC S</t>
  </si>
  <si>
    <t>DE S</t>
  </si>
  <si>
    <t>AF S</t>
  </si>
  <si>
    <t>FAT S</t>
  </si>
  <si>
    <t>TC S</t>
  </si>
  <si>
    <t>MY S</t>
  </si>
  <si>
    <t>WE S</t>
  </si>
  <si>
    <t>WP S</t>
  </si>
  <si>
    <t>CI S</t>
  </si>
  <si>
    <t>VM S</t>
  </si>
  <si>
    <t>Parameter name</t>
  </si>
  <si>
    <t>Reference Change in Market Share Solar Variation</t>
  </si>
  <si>
    <t>Reference Change in Market Share Wind Variation</t>
  </si>
  <si>
    <t>Reference Change in Market Share Biomass Variation</t>
  </si>
  <si>
    <t>Annual Change in Oil Reserves Variation</t>
  </si>
  <si>
    <t>Annual Growth in Gas Reserves Variation</t>
  </si>
  <si>
    <t>The reference value is 0.95, but the maximum value (0.95+0.95*0.25) cannot exceed 1</t>
  </si>
  <si>
    <t xml:space="preserve">Total population </t>
  </si>
  <si>
    <t xml:space="preserve">GWP per Capita </t>
  </si>
  <si>
    <t xml:space="preserve">Land cover built-up area </t>
  </si>
  <si>
    <t xml:space="preserve">Energy Demand </t>
  </si>
  <si>
    <t xml:space="preserve">Oil production </t>
  </si>
  <si>
    <t xml:space="preserve">Gas production </t>
  </si>
  <si>
    <t xml:space="preserve">Coal production </t>
  </si>
  <si>
    <t xml:space="preserve">Solar production </t>
  </si>
  <si>
    <t xml:space="preserve">Wind production </t>
  </si>
  <si>
    <t xml:space="preserve">Biomass production </t>
  </si>
  <si>
    <t>Energy conversion technology (Technological development)</t>
  </si>
  <si>
    <t>Energy conversion technology (Social acceptance)</t>
  </si>
  <si>
    <t>Energy production (Market constraints)</t>
  </si>
  <si>
    <t>Eenrgy conversion technology</t>
  </si>
  <si>
    <t>Energy produciton</t>
  </si>
  <si>
    <t xml:space="preserve">Total CO2 emissions </t>
  </si>
  <si>
    <t xml:space="preserve">CO2 radiative forcing </t>
  </si>
  <si>
    <t xml:space="preserve">Forest land area </t>
  </si>
  <si>
    <t xml:space="preserve">Livestock production </t>
  </si>
  <si>
    <t xml:space="preserve">Nonenergy crops production </t>
  </si>
  <si>
    <t xml:space="preserve">Total Primary Education Graduates </t>
  </si>
  <si>
    <t xml:space="preserve">Total Secondary Education Graduates </t>
  </si>
  <si>
    <t xml:space="preserve">Total Tertiary Education Graduates </t>
  </si>
  <si>
    <t>Total croplands area</t>
  </si>
  <si>
    <t xml:space="preserve">Pasture land area </t>
  </si>
  <si>
    <t>Diet change</t>
  </si>
  <si>
    <t>Variation rate</t>
  </si>
  <si>
    <t>Diet composition 3</t>
  </si>
  <si>
    <t>Diet composition 1</t>
  </si>
  <si>
    <t>Diet composition 4</t>
  </si>
  <si>
    <t>Diet composition 5</t>
  </si>
  <si>
    <t xml:space="preserve">Diet composition 4 </t>
  </si>
  <si>
    <t>on</t>
  </si>
  <si>
    <t>off</t>
  </si>
  <si>
    <t>SSP 2 (reference)</t>
  </si>
  <si>
    <t>PersistenceTer Fraction Variation</t>
  </si>
  <si>
    <t>PersistenceSec Fraction Variation</t>
  </si>
  <si>
    <t>Top n Parameter</t>
  </si>
  <si>
    <t>NaN</t>
  </si>
  <si>
    <t>Educational attainment</t>
  </si>
  <si>
    <t>Fossil energy production</t>
  </si>
  <si>
    <t>Land-use change</t>
  </si>
  <si>
    <t>Food waste</t>
  </si>
  <si>
    <t>Food and land</t>
  </si>
  <si>
    <t>Energy</t>
  </si>
  <si>
    <t>SSP driving forces emergence time</t>
  </si>
  <si>
    <t>Time</t>
  </si>
  <si>
    <t>NA</t>
  </si>
  <si>
    <t>Population growth</t>
  </si>
  <si>
    <t>Economic development</t>
  </si>
  <si>
    <t>Energy demand and lifestyle change</t>
  </si>
  <si>
    <t>Clean energy technology advances</t>
  </si>
  <si>
    <t>Uncertainty variation %</t>
  </si>
  <si>
    <t>Improvement in productivity and efficiency</t>
  </si>
  <si>
    <t>Energy technology advances</t>
  </si>
  <si>
    <t>Investment in technology development</t>
  </si>
  <si>
    <t>Resource availability and production cost</t>
  </si>
  <si>
    <t>Food</t>
  </si>
  <si>
    <t>Leave no one behind</t>
  </si>
  <si>
    <t>Given the gap from the world average to the performance of top performer, we chose 90% of Leave no one behind value for 2030, 100% for 2050, and the maximum value (1) for 2100</t>
  </si>
  <si>
    <t>The SDG framework emphasise to end hunger and undernourishment. We related this to the average dietry energy supply adequacy and sett 100% as the ambitious target by 2030, 2050, and 2100. For moderate and weak target levels, we set lower dietary energy supply adequacy compared to the ambittious level. The model (and documented data) global average of this variable is above this target level.</t>
  </si>
  <si>
    <t>2.4.8</t>
  </si>
  <si>
    <t>Total Plant Meat Food Production</t>
  </si>
  <si>
    <t xml:space="preserve">Ambitious targets in 2030, 2050, 2100 are calculated based on percentage of growth (from 2010) in crops production based on the SSP2-Baseline (as BAU) with MESSAGE_GLOBIOM as its marker model. Plant production in documented data includes the production quanitity of Cereals - Excluding Beer, Starchy Roots,Pulses, treenuts, oilcrops, vegetables, and fuits (exculding wine). </t>
  </si>
  <si>
    <t>Ambitious targets in 2030, 2050, 2100 are calculated based on percentage of growth (from 2010) in livestock production based on the SSP2-Baseline (as BAU) with MESSAGE_GLOBIOM as its marker model. Meat production is the aggregation of bovine meat, mutton and goat meat, pig meat, poultry, and meat others.</t>
  </si>
  <si>
    <t xml:space="preserve">Ambitious targets in 2030, 2050, 2100 are calculated based on percentage of growth (from 2010) in food (meat and plant) production based on the SSP2-Baseline (as BAU) with MESSAGE_GLOBIOM as its marker model. Meat production is the aggregation of bovine meat, mutton and goat meat, pig meat, poultry, and meat others. Plant production in documented data includes the production quanitity of Cereals - Excluding Beer, Starchy Roots,Pulses, treenuts, oilcrops, vegetables, and fuits (exculding wine). </t>
  </si>
  <si>
    <t>The total annual production of nonenergy crops and pasture-based meat.</t>
  </si>
  <si>
    <t>Meat Based Food Production+Plant Based Food Production</t>
  </si>
  <si>
    <t>The SDG framework aims for ending hunger and undernourishment. We related this to the average dietry energy supply adequacy and set 100% (i.e., no dietary inadequacy) as the ambitious target by 2030, 2050, and 2100. For moderate and weak target levels, we set lower levels of dietary energy supply adequacy compared to the ambittious level. The model (and documented data) global average of this variable is above this target level.</t>
  </si>
  <si>
    <t>Ambitious targets in 2030, 2050, 2100 are based on percentage of growth in crops production from the SSP2-Baseline scenario (as BAU) in the base year 2010 with MESSAGE_GLOBIOM as the marker model.</t>
  </si>
  <si>
    <t>Ambitious targets in 2030, 2050, 2100 are based on percentage of growth in livestock production from the SSP2-Baseline scenario (as BAU) in the base year 2010 with MESSAGE_GLOBIOM as the marker model.</t>
  </si>
  <si>
    <t>Ambitious targets in 2030, 2050, 2100 are based on percentage of growth in livestock and crops production from the SSP2-Baseline scenario (as BAU) in the base year 2010 with MESSAGE_GLOBIOM as the marker model.</t>
  </si>
  <si>
    <t>The base year data for plant production is the production quantity of cereals - excluding Beer, starchy roots, pulses, treenuts, oil crops, vegetables, and fruits (excluding wine).  Meat production is the aggregation of bovine meat, mutton and goat meat, pig meat, poultry, and meat others. Data from FAO: http://www.fao.org/faostat/en/#data/FBS</t>
  </si>
  <si>
    <t>Female to Male Enrollment in Tertiary Education</t>
  </si>
  <si>
    <t>The percentage of the female to male enrollment rate to tertiary education.</t>
  </si>
  <si>
    <t>UNESCO, UNSC</t>
  </si>
  <si>
    <t>4.1.6</t>
  </si>
  <si>
    <t>Goal 4 emphasises equal access to education for male and female. We chose 1 (equal female to male enrolement) as the ambitious target and lower fulfilment levels for moderate and weak.</t>
  </si>
  <si>
    <t>(Enrollment Rate to Tertiary Education[female,"15-19"]/Enrollment Rate to Tertiary Education[male,"15-19"])</t>
  </si>
  <si>
    <t>Constant</t>
  </si>
  <si>
    <t>We chose the performance of top performer for 2030 ambitious target, 150% higher than the current top performers value for 2050, and 150% higher for 2100</t>
  </si>
  <si>
    <t>We chose the performance of top performers as ambtitious target for 2030, 110% of current top performers value for 2030, 120% higher for 2050.</t>
  </si>
  <si>
    <t>We choose top performers value for 2030 ambitious target, 150%higher than the current top performer values for 2050, and 150% higher for 2100.</t>
  </si>
  <si>
    <t>Energy Intensity of GWP</t>
  </si>
  <si>
    <t>GWP per Capita</t>
  </si>
  <si>
    <t>CO2 Emissions per GWP</t>
  </si>
  <si>
    <t>Reference 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2050 and 2100 are based on IMAGE SSP1 Baseline projection</t>
  </si>
  <si>
    <t>Data is from the SSP 2 Baseline simulation with the AIM/CGE model. Given the uncertainty in model projections, we selected the model whose projected value in 2020 was closest to FeliX projection. Green target is based on the IEA 450 scenario where deep CO2
 emission cuts are foreseen, Table 3 from https://irena.org/-/media/Files/IRENA/Agency/Publication/2013/IRENA-REMAP-2030-working-paper.pdf Targets in 2030 and 2050 are based on MESSAGE-GLOBIOM SSP2 Aseline projection</t>
  </si>
  <si>
    <t>Market Share Renewables Indicator</t>
  </si>
  <si>
    <t>Cropland Yield Indicator</t>
  </si>
  <si>
    <t>Grassland Meat Yield Indicator</t>
  </si>
  <si>
    <t>Meat Based Diet Followers Indicator</t>
  </si>
  <si>
    <t>Plant Based Diet Followers Indicator</t>
  </si>
  <si>
    <t>Population with No or Incomplete Education Indicator</t>
  </si>
  <si>
    <t>Total Birth Rate Indicator</t>
  </si>
  <si>
    <t>Renewable Energy Production Indicator</t>
  </si>
  <si>
    <t>Fossil Energy Production Indicator</t>
  </si>
  <si>
    <t>Harvested Forest Biomass Land Indicator</t>
  </si>
  <si>
    <t>Agricultural Land Area</t>
  </si>
  <si>
    <t>Food production</t>
  </si>
  <si>
    <t>Total Food Production</t>
  </si>
  <si>
    <t>Animal Calories Consumption Indicator</t>
  </si>
  <si>
    <t>Number of years</t>
  </si>
  <si>
    <t>Climate Policy Scenario</t>
  </si>
  <si>
    <t>Land Mitigation Policy Multiplier</t>
  </si>
  <si>
    <t>Reference CO2 Removal Rate</t>
  </si>
  <si>
    <t>ON</t>
  </si>
  <si>
    <t>RCP Scenario</t>
  </si>
  <si>
    <t>Carbon Price Slope</t>
  </si>
  <si>
    <t>Climate Action Year</t>
  </si>
  <si>
    <t>Climate policy assumptions</t>
  </si>
  <si>
    <t>Given that Climate Policy Scenario is zero for SSP3 and SSP5, the uncertainty range does not impact the outcome.</t>
  </si>
  <si>
    <t>Total Plant and Meat Based Food</t>
  </si>
  <si>
    <t>Total CO2 from Land Use</t>
  </si>
  <si>
    <t>Total CO2 from Agriculture</t>
  </si>
  <si>
    <t>billion ton/year</t>
  </si>
  <si>
    <t>million ton N/year</t>
  </si>
  <si>
    <t>million ton P/year</t>
  </si>
  <si>
    <t>billion ton CO2/year</t>
  </si>
  <si>
    <t>person/year per 1000 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</si>
</sst>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64" formatCode="0.000"/>
    <numFmt numFmtId="165" formatCode="0.0000"/>
  </numFmts>
  <fonts count="58" x14ac:knownFonts="1">
    <font>
      <sz val="11"/>
      <color theme="1"/>
      <name val="Calibri"/>
      <family val="2"/>
      <scheme val="minor"/>
    </font>
    <font>
      <sz val="11"/>
      <color theme="1"/>
      <name val="Arial"/>
      <family val="2"/>
    </font>
    <font>
      <sz val="11"/>
      <name val="Arial"/>
      <family val="2"/>
    </font>
    <font>
      <b/>
      <sz val="11"/>
      <color theme="1"/>
      <name val="Arial"/>
      <family val="2"/>
    </font>
    <font>
      <b/>
      <sz val="11"/>
      <color theme="0"/>
      <name val="Arial"/>
      <family val="2"/>
    </font>
    <font>
      <b/>
      <sz val="11"/>
      <color theme="1"/>
      <name val="Calibri"/>
      <family val="2"/>
      <scheme val="minor"/>
    </font>
    <font>
      <sz val="11"/>
      <name val="Calibri"/>
      <family val="2"/>
      <scheme val="minor"/>
    </font>
    <font>
      <sz val="11"/>
      <color rgb="FFFF0000"/>
      <name val="Calibri"/>
      <family val="2"/>
      <scheme val="minor"/>
    </font>
    <font>
      <sz val="11"/>
      <color rgb="FF00B050"/>
      <name val="Calibri"/>
      <family val="2"/>
      <scheme val="minor"/>
    </font>
    <font>
      <sz val="11"/>
      <name val="Gill Sans MT"/>
      <family val="2"/>
    </font>
    <font>
      <sz val="8"/>
      <color theme="1"/>
      <name val="Times New Roman"/>
      <family val="1"/>
    </font>
    <font>
      <sz val="8"/>
      <color rgb="FFFF0000"/>
      <name val="Times New Roman"/>
      <family val="1"/>
    </font>
    <font>
      <sz val="8"/>
      <color rgb="FF00B050"/>
      <name val="Times New Roman"/>
      <family val="1"/>
    </font>
    <font>
      <sz val="8"/>
      <name val="Times New Roman"/>
      <family val="1"/>
    </font>
    <font>
      <sz val="9"/>
      <color rgb="FF000000"/>
      <name val="Times New Roman"/>
      <family val="1"/>
    </font>
    <font>
      <vertAlign val="superscript"/>
      <sz val="9"/>
      <color rgb="FF000000"/>
      <name val="Times New Roman"/>
      <family val="1"/>
    </font>
    <font>
      <b/>
      <sz val="9"/>
      <color rgb="FF000000"/>
      <name val="Times New Roman"/>
      <family val="1"/>
    </font>
    <font>
      <sz val="9"/>
      <name val="Times New Roman"/>
      <family val="1"/>
    </font>
    <font>
      <i/>
      <sz val="9"/>
      <name val="Times New Roman"/>
      <family val="1"/>
    </font>
    <font>
      <i/>
      <sz val="9"/>
      <color rgb="FF000000"/>
      <name val="Times New Roman"/>
      <family val="1"/>
    </font>
    <font>
      <sz val="9"/>
      <color rgb="FF000000"/>
      <name val="Arial"/>
      <family val="2"/>
    </font>
    <font>
      <sz val="7"/>
      <color rgb="FF000000"/>
      <name val="Times New Roman"/>
      <family val="1"/>
    </font>
    <font>
      <i/>
      <sz val="8"/>
      <color rgb="FF000000"/>
      <name val="Times New Roman"/>
      <family val="1"/>
    </font>
    <font>
      <sz val="9"/>
      <name val="Arial"/>
      <family val="2"/>
    </font>
    <font>
      <sz val="7"/>
      <name val="Times New Roman"/>
      <family val="1"/>
    </font>
    <font>
      <sz val="11"/>
      <color theme="1"/>
      <name val="Times New Roman"/>
      <family val="1"/>
    </font>
    <font>
      <sz val="8"/>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sz val="11"/>
      <color rgb="FF9C6500"/>
      <name val="Calibri"/>
      <family val="2"/>
      <scheme val="minor"/>
    </font>
    <font>
      <sz val="11"/>
      <color rgb="FF00CC00"/>
      <name val="Calibri"/>
      <family val="2"/>
      <scheme val="minor"/>
    </font>
    <font>
      <vertAlign val="superscript"/>
      <sz val="11"/>
      <color theme="1"/>
      <name val="Calibri"/>
      <family val="2"/>
      <scheme val="minor"/>
    </font>
    <font>
      <b/>
      <sz val="11"/>
      <color theme="1"/>
      <name val="Times New Roman"/>
      <family val="1"/>
    </font>
    <font>
      <sz val="11"/>
      <name val="Times New Roman"/>
      <family val="1"/>
    </font>
    <font>
      <vertAlign val="superscript"/>
      <sz val="11"/>
      <color theme="1"/>
      <name val="Times New Roman"/>
      <family val="1"/>
    </font>
    <font>
      <sz val="9"/>
      <color theme="1"/>
      <name val="Times New Roman"/>
      <family val="1"/>
    </font>
    <font>
      <b/>
      <sz val="9"/>
      <color theme="1"/>
      <name val="Times New Roman"/>
      <family val="1"/>
    </font>
    <font>
      <sz val="11"/>
      <color rgb="FFFF0000"/>
      <name val="Arial"/>
      <family val="2"/>
    </font>
    <font>
      <sz val="11"/>
      <color rgb="FFFF6161"/>
      <name val="Calibri"/>
      <family val="2"/>
      <scheme val="minor"/>
    </font>
    <font>
      <b/>
      <sz val="9"/>
      <name val="Arial"/>
      <family val="2"/>
    </font>
    <font>
      <sz val="9"/>
      <color theme="1"/>
      <name val="Arial"/>
      <family val="2"/>
    </font>
    <font>
      <b/>
      <sz val="9"/>
      <color theme="1"/>
      <name val="Arial"/>
      <family val="2"/>
    </font>
    <font>
      <sz val="11"/>
      <color rgb="FF00B0F0"/>
      <name val="Arial"/>
      <family val="2"/>
    </font>
  </fonts>
  <fills count="55">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indexed="31"/>
        <bgColor indexed="22"/>
      </patternFill>
    </fill>
    <fill>
      <patternFill patternType="solid">
        <fgColor rgb="FFFFE1E1"/>
        <bgColor indexed="64"/>
      </patternFill>
    </fill>
    <fill>
      <patternFill patternType="solid">
        <fgColor rgb="FFFFF2E5"/>
        <bgColor indexed="64"/>
      </patternFill>
    </fill>
    <fill>
      <patternFill patternType="solid">
        <fgColor rgb="FFFFCCCC"/>
        <bgColor indexed="64"/>
      </patternFill>
    </fill>
    <fill>
      <patternFill patternType="solid">
        <fgColor rgb="FFD9D9D9"/>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99FF"/>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bgColor indexed="64"/>
      </patternFill>
    </fill>
  </fills>
  <borders count="39">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8"/>
      </left>
      <right style="medium">
        <color indexed="8"/>
      </right>
      <top style="medium">
        <color indexed="8"/>
      </top>
      <bottom style="medium">
        <color indexed="8"/>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indexed="64"/>
      </right>
      <top/>
      <bottom style="thin">
        <color rgb="FF00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thin">
        <color theme="2" tint="-9.9978637043366805E-2"/>
      </left>
      <right style="thin">
        <color theme="2" tint="-9.9978637043366805E-2"/>
      </right>
      <top/>
      <bottom/>
      <diagonal/>
    </border>
    <border>
      <left style="thin">
        <color theme="2" tint="-9.9978637043366805E-2"/>
      </left>
      <right/>
      <top/>
      <bottom/>
      <diagonal/>
    </border>
  </borders>
  <cellStyleXfs count="52">
    <xf numFmtId="0" fontId="0" fillId="0" borderId="0"/>
    <xf numFmtId="0" fontId="9" fillId="5" borderId="2">
      <alignment horizontal="center" wrapText="1"/>
    </xf>
    <xf numFmtId="0" fontId="27" fillId="0" borderId="0" applyNumberFormat="0" applyFill="0" applyBorder="0" applyAlignment="0" applyProtection="0"/>
    <xf numFmtId="0" fontId="29" fillId="0" borderId="0" applyNumberFormat="0" applyFill="0" applyBorder="0" applyAlignment="0" applyProtection="0"/>
    <xf numFmtId="0" fontId="30" fillId="0" borderId="11" applyNumberFormat="0" applyFill="0" applyAlignment="0" applyProtection="0"/>
    <xf numFmtId="0" fontId="31" fillId="0" borderId="12"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14" borderId="0" applyNumberFormat="0" applyBorder="0" applyAlignment="0" applyProtection="0"/>
    <xf numFmtId="0" fontId="34" fillId="15" borderId="0" applyNumberFormat="0" applyBorder="0" applyAlignment="0" applyProtection="0"/>
    <xf numFmtId="0" fontId="35" fillId="17" borderId="14" applyNumberFormat="0" applyAlignment="0" applyProtection="0"/>
    <xf numFmtId="0" fontId="36" fillId="18" borderId="15" applyNumberFormat="0" applyAlignment="0" applyProtection="0"/>
    <xf numFmtId="0" fontId="37" fillId="18" borderId="14" applyNumberFormat="0" applyAlignment="0" applyProtection="0"/>
    <xf numFmtId="0" fontId="38" fillId="0" borderId="16" applyNumberFormat="0" applyFill="0" applyAlignment="0" applyProtection="0"/>
    <xf numFmtId="0" fontId="39" fillId="19" borderId="17" applyNumberFormat="0" applyAlignment="0" applyProtection="0"/>
    <xf numFmtId="0" fontId="7" fillId="0" borderId="0" applyNumberFormat="0" applyFill="0" applyBorder="0" applyAlignment="0" applyProtection="0"/>
    <xf numFmtId="0" fontId="28" fillId="20" borderId="18" applyNumberFormat="0" applyFont="0" applyAlignment="0" applyProtection="0"/>
    <xf numFmtId="0" fontId="40" fillId="0" borderId="0" applyNumberFormat="0" applyFill="0" applyBorder="0" applyAlignment="0" applyProtection="0"/>
    <xf numFmtId="0" fontId="5" fillId="0" borderId="19" applyNumberFormat="0" applyFill="0" applyAlignment="0" applyProtection="0"/>
    <xf numFmtId="0" fontId="4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4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4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41"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41" fillId="37" borderId="0" applyNumberFormat="0" applyBorder="0" applyAlignment="0" applyProtection="0"/>
    <xf numFmtId="0" fontId="28" fillId="38" borderId="0" applyNumberFormat="0" applyBorder="0" applyAlignment="0" applyProtection="0"/>
    <xf numFmtId="0" fontId="28" fillId="39" borderId="0" applyNumberFormat="0" applyBorder="0" applyAlignment="0" applyProtection="0"/>
    <xf numFmtId="0" fontId="41" fillId="41" borderId="0" applyNumberFormat="0" applyBorder="0" applyAlignment="0" applyProtection="0"/>
    <xf numFmtId="0" fontId="28" fillId="42" borderId="0" applyNumberFormat="0" applyBorder="0" applyAlignment="0" applyProtection="0"/>
    <xf numFmtId="0" fontId="28" fillId="43" borderId="0" applyNumberFormat="0" applyBorder="0" applyAlignment="0" applyProtection="0"/>
    <xf numFmtId="0" fontId="42" fillId="16" borderId="0" applyNumberFormat="0" applyBorder="0" applyAlignment="0" applyProtection="0"/>
    <xf numFmtId="0" fontId="28" fillId="24" borderId="0" applyNumberFormat="0" applyBorder="0" applyAlignment="0" applyProtection="0"/>
    <xf numFmtId="0" fontId="28" fillId="28" borderId="0" applyNumberFormat="0" applyBorder="0" applyAlignment="0" applyProtection="0"/>
    <xf numFmtId="0" fontId="28" fillId="32" borderId="0" applyNumberFormat="0" applyBorder="0" applyAlignment="0" applyProtection="0"/>
    <xf numFmtId="0" fontId="28" fillId="36" borderId="0" applyNumberFormat="0" applyBorder="0" applyAlignment="0" applyProtection="0"/>
    <xf numFmtId="0" fontId="28" fillId="40" borderId="0" applyNumberFormat="0" applyBorder="0" applyAlignment="0" applyProtection="0"/>
    <xf numFmtId="0" fontId="43" fillId="0" borderId="0"/>
    <xf numFmtId="0" fontId="28" fillId="44" borderId="0" applyNumberFormat="0" applyBorder="0" applyAlignment="0" applyProtection="0"/>
    <xf numFmtId="0" fontId="44" fillId="16" borderId="0" applyNumberFormat="0" applyBorder="0" applyAlignment="0" applyProtection="0"/>
    <xf numFmtId="0" fontId="41" fillId="24" borderId="0" applyNumberFormat="0" applyBorder="0" applyAlignment="0" applyProtection="0"/>
    <xf numFmtId="0" fontId="41" fillId="28" borderId="0" applyNumberFormat="0" applyBorder="0" applyAlignment="0" applyProtection="0"/>
    <xf numFmtId="0" fontId="41" fillId="32" borderId="0" applyNumberFormat="0" applyBorder="0" applyAlignment="0" applyProtection="0"/>
    <xf numFmtId="0" fontId="41" fillId="36" borderId="0" applyNumberFormat="0" applyBorder="0" applyAlignment="0" applyProtection="0"/>
    <xf numFmtId="0" fontId="41" fillId="40" borderId="0" applyNumberFormat="0" applyBorder="0" applyAlignment="0" applyProtection="0"/>
    <xf numFmtId="0" fontId="41" fillId="44" borderId="0" applyNumberFormat="0" applyBorder="0" applyAlignment="0" applyProtection="0"/>
  </cellStyleXfs>
  <cellXfs count="722">
    <xf numFmtId="0" fontId="0" fillId="0" borderId="0" xfId="0"/>
    <xf numFmtId="0" fontId="0" fillId="0" borderId="0" xfId="0" applyAlignment="1">
      <alignment wrapText="1"/>
    </xf>
    <xf numFmtId="0" fontId="3" fillId="2" borderId="1" xfId="0" applyFont="1" applyFill="1" applyBorder="1" applyAlignment="1">
      <alignment horizontal="left" vertical="top"/>
    </xf>
    <xf numFmtId="0" fontId="1" fillId="0" borderId="1" xfId="0" applyFont="1" applyBorder="1" applyAlignment="1">
      <alignment wrapText="1"/>
    </xf>
    <xf numFmtId="0" fontId="3" fillId="2" borderId="1" xfId="0" applyFont="1" applyFill="1" applyBorder="1" applyAlignment="1">
      <alignment horizontal="left" vertical="top" wrapText="1"/>
    </xf>
    <xf numFmtId="0" fontId="1" fillId="0" borderId="1" xfId="0" applyFont="1" applyBorder="1" applyAlignment="1">
      <alignment vertical="top" wrapText="1"/>
    </xf>
    <xf numFmtId="0" fontId="2" fillId="0" borderId="0" xfId="0" applyFont="1" applyAlignment="1">
      <alignment horizontal="left" vertical="top" wrapText="1"/>
    </xf>
    <xf numFmtId="0" fontId="2" fillId="0" borderId="0" xfId="0" applyFont="1" applyAlignment="1">
      <alignment horizontal="left" vertical="top"/>
    </xf>
    <xf numFmtId="11" fontId="1" fillId="0" borderId="0" xfId="0" applyNumberFormat="1" applyFont="1" applyAlignment="1">
      <alignment horizontal="left" vertical="top"/>
    </xf>
    <xf numFmtId="0" fontId="1" fillId="3" borderId="0" xfId="0" applyFont="1" applyFill="1" applyAlignment="1">
      <alignment horizontal="left" vertical="top" wrapText="1"/>
    </xf>
    <xf numFmtId="0" fontId="1" fillId="3" borderId="0" xfId="0" applyFont="1" applyFill="1" applyAlignment="1">
      <alignment horizontal="left" vertical="top"/>
    </xf>
    <xf numFmtId="0" fontId="0" fillId="0" borderId="0" xfId="0"/>
    <xf numFmtId="0" fontId="0" fillId="4" borderId="0" xfId="0" applyFill="1" applyAlignment="1">
      <alignment horizontal="left" vertical="top" wrapText="1"/>
    </xf>
    <xf numFmtId="0" fontId="0" fillId="0" borderId="0" xfId="0" applyFill="1"/>
    <xf numFmtId="0" fontId="1" fillId="0" borderId="0" xfId="0" applyFont="1" applyAlignment="1">
      <alignment horizontal="left" vertical="top" wrapText="1"/>
    </xf>
    <xf numFmtId="0" fontId="1" fillId="0" borderId="0" xfId="0" applyFont="1" applyAlignment="1">
      <alignment horizontal="left" vertical="top"/>
    </xf>
    <xf numFmtId="0" fontId="4" fillId="0" borderId="0" xfId="0" applyFont="1" applyFill="1" applyAlignment="1">
      <alignment vertical="top"/>
    </xf>
    <xf numFmtId="0" fontId="1" fillId="0" borderId="0" xfId="0" applyFont="1"/>
    <xf numFmtId="0" fontId="1" fillId="0" borderId="0" xfId="0" applyFont="1" applyAlignment="1">
      <alignment wrapText="1"/>
    </xf>
    <xf numFmtId="0" fontId="1" fillId="0" borderId="1" xfId="0" applyFont="1" applyFill="1" applyBorder="1" applyAlignment="1">
      <alignment wrapText="1"/>
    </xf>
    <xf numFmtId="0" fontId="6" fillId="4" borderId="0" xfId="0" applyFont="1" applyFill="1" applyAlignment="1">
      <alignment horizontal="left" vertical="top" wrapText="1"/>
    </xf>
    <xf numFmtId="0" fontId="0" fillId="4" borderId="0" xfId="0" applyFill="1" applyAlignment="1">
      <alignment horizontal="center" vertical="center" wrapText="1"/>
    </xf>
    <xf numFmtId="6" fontId="0" fillId="4" borderId="0" xfId="0" applyNumberFormat="1" applyFill="1" applyAlignment="1">
      <alignment horizontal="center" vertical="center" wrapText="1"/>
    </xf>
    <xf numFmtId="0" fontId="0" fillId="4" borderId="0" xfId="0" applyFill="1" applyAlignment="1">
      <alignment horizontal="center" vertical="center"/>
    </xf>
    <xf numFmtId="0" fontId="6" fillId="4" borderId="0" xfId="0" applyFont="1" applyFill="1" applyAlignment="1">
      <alignment horizontal="center" vertical="center" wrapText="1"/>
    </xf>
    <xf numFmtId="0" fontId="0" fillId="0" borderId="0" xfId="0" applyAlignment="1">
      <alignment horizontal="left" wrapText="1"/>
    </xf>
    <xf numFmtId="0" fontId="0" fillId="0" borderId="0" xfId="0" applyAlignment="1"/>
    <xf numFmtId="0" fontId="0" fillId="4" borderId="0" xfId="0" quotePrefix="1" applyFill="1" applyAlignment="1">
      <alignment horizontal="left" vertical="top" wrapText="1"/>
    </xf>
    <xf numFmtId="0" fontId="1" fillId="0" borderId="0" xfId="0" applyFont="1" applyAlignment="1">
      <alignment horizontal="left" vertical="top"/>
    </xf>
    <xf numFmtId="0" fontId="0" fillId="0" borderId="0" xfId="0" applyAlignment="1">
      <alignment horizontal="center"/>
    </xf>
    <xf numFmtId="0" fontId="0" fillId="0" borderId="0" xfId="0" applyAlignment="1">
      <alignment horizontal="left" vertical="top"/>
    </xf>
    <xf numFmtId="6" fontId="0" fillId="4" borderId="0" xfId="0" applyNumberFormat="1" applyFill="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left" vertical="top"/>
    </xf>
    <xf numFmtId="10" fontId="0" fillId="0" borderId="0" xfId="0" applyNumberFormat="1" applyAlignment="1">
      <alignment horizontal="left" vertical="top"/>
    </xf>
    <xf numFmtId="9" fontId="0" fillId="0" borderId="0" xfId="0" applyNumberFormat="1" applyAlignment="1">
      <alignment horizontal="left" vertical="top"/>
    </xf>
    <xf numFmtId="0" fontId="0" fillId="0" borderId="0" xfId="0" applyAlignment="1">
      <alignment vertical="center" wrapText="1"/>
    </xf>
    <xf numFmtId="0" fontId="8" fillId="0" borderId="0" xfId="0" applyFont="1"/>
    <xf numFmtId="0" fontId="0" fillId="0" borderId="0" xfId="0" applyNumberFormat="1" applyAlignment="1">
      <alignment horizontal="left" vertical="top"/>
    </xf>
    <xf numFmtId="0" fontId="0" fillId="0" borderId="0" xfId="0" applyNumberForma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xf numFmtId="0" fontId="0" fillId="0" borderId="0" xfId="0" applyAlignment="1">
      <alignment wrapText="1"/>
    </xf>
    <xf numFmtId="0" fontId="2" fillId="0" borderId="0" xfId="0" applyFont="1" applyAlignment="1">
      <alignment horizontal="left" vertical="top"/>
    </xf>
    <xf numFmtId="0" fontId="0" fillId="0" borderId="0" xfId="0" applyFill="1"/>
    <xf numFmtId="0" fontId="0" fillId="0" borderId="0" xfId="0" applyAlignment="1">
      <alignment horizontal="left" vertical="top" wrapText="1"/>
    </xf>
    <xf numFmtId="0" fontId="0" fillId="4" borderId="0" xfId="0" applyFill="1" applyAlignment="1">
      <alignment horizontal="left" vertical="top" wrapText="1"/>
    </xf>
    <xf numFmtId="0" fontId="0" fillId="0" borderId="0" xfId="0" applyFill="1" applyAlignment="1">
      <alignment horizontal="left" vertical="top" wrapText="1"/>
    </xf>
    <xf numFmtId="0" fontId="7" fillId="0" borderId="0" xfId="0" applyFont="1" applyAlignment="1">
      <alignment horizontal="left" vertical="top" wrapText="1"/>
    </xf>
    <xf numFmtId="0" fontId="7" fillId="0" borderId="0" xfId="0" applyFont="1" applyFill="1" applyAlignment="1">
      <alignment horizontal="left" vertical="top" wrapText="1"/>
    </xf>
    <xf numFmtId="0" fontId="8" fillId="0" borderId="0" xfId="0" applyFont="1" applyAlignment="1">
      <alignment horizontal="left" vertical="top" wrapText="1"/>
    </xf>
    <xf numFmtId="0" fontId="8" fillId="0" borderId="0" xfId="0" applyFont="1" applyFill="1" applyAlignment="1">
      <alignment horizontal="left" vertical="top" wrapText="1"/>
    </xf>
    <xf numFmtId="0" fontId="6" fillId="0" borderId="0" xfId="0" applyFont="1" applyFill="1" applyAlignment="1">
      <alignment horizontal="left" vertical="top" wrapText="1"/>
    </xf>
    <xf numFmtId="0" fontId="1" fillId="0" borderId="0" xfId="0" applyFont="1"/>
    <xf numFmtId="0" fontId="0" fillId="3" borderId="0" xfId="0" applyFill="1" applyAlignment="1">
      <alignment horizontal="left" vertical="top" wrapText="1"/>
    </xf>
    <xf numFmtId="6" fontId="0" fillId="4" borderId="0" xfId="0" applyNumberFormat="1" applyFill="1" applyAlignment="1">
      <alignment vertical="top" wrapText="1"/>
    </xf>
    <xf numFmtId="0" fontId="1" fillId="0" borderId="0" xfId="0" applyFont="1" applyAlignment="1">
      <alignment horizontal="left"/>
    </xf>
    <xf numFmtId="0" fontId="1" fillId="3" borderId="0" xfId="0" applyFont="1" applyFill="1" applyAlignment="1">
      <alignment horizontal="left"/>
    </xf>
    <xf numFmtId="11" fontId="1" fillId="0" borderId="0" xfId="0" applyNumberFormat="1" applyFont="1" applyAlignment="1">
      <alignment horizontal="left"/>
    </xf>
    <xf numFmtId="0" fontId="0" fillId="0" borderId="0" xfId="0" applyNumberFormat="1" applyAlignment="1">
      <alignment horizontal="left" wrapText="1"/>
    </xf>
    <xf numFmtId="0" fontId="0" fillId="0" borderId="0" xfId="0" applyNumberFormat="1" applyAlignment="1">
      <alignment horizontal="left" vertical="top" wrapText="1"/>
    </xf>
    <xf numFmtId="0" fontId="0" fillId="4" borderId="0" xfId="0" applyNumberFormat="1" applyFill="1" applyAlignment="1">
      <alignment horizontal="left" vertical="top" wrapText="1"/>
    </xf>
    <xf numFmtId="0" fontId="7" fillId="0" borderId="0" xfId="0" applyNumberFormat="1" applyFont="1" applyFill="1" applyAlignment="1">
      <alignment horizontal="left" vertical="top" wrapText="1"/>
    </xf>
    <xf numFmtId="0" fontId="8" fillId="0" borderId="0" xfId="0" applyNumberFormat="1" applyFont="1" applyFill="1" applyAlignment="1">
      <alignment horizontal="left" vertical="top" wrapText="1"/>
    </xf>
    <xf numFmtId="0" fontId="0" fillId="3" borderId="0" xfId="0" applyNumberFormat="1" applyFill="1" applyAlignment="1">
      <alignment horizontal="left" vertical="top" wrapText="1"/>
    </xf>
    <xf numFmtId="0" fontId="8" fillId="0" borderId="0" xfId="0" applyNumberFormat="1" applyFont="1" applyAlignment="1">
      <alignment horizontal="left" vertical="top" wrapText="1"/>
    </xf>
    <xf numFmtId="0"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8" fillId="0" borderId="0" xfId="0" applyNumberFormat="1" applyFont="1"/>
    <xf numFmtId="0" fontId="0" fillId="3" borderId="0" xfId="0" applyNumberFormat="1" applyFill="1" applyAlignment="1">
      <alignment horizontal="left" vertical="top"/>
    </xf>
    <xf numFmtId="0" fontId="0" fillId="3" borderId="0" xfId="0" applyFill="1" applyAlignment="1">
      <alignment horizontal="left" vertical="top"/>
    </xf>
    <xf numFmtId="10" fontId="0" fillId="0" borderId="0" xfId="0" applyNumberFormat="1" applyFill="1" applyAlignment="1">
      <alignment horizontal="left" vertical="top"/>
    </xf>
    <xf numFmtId="0" fontId="0" fillId="4" borderId="0" xfId="0" applyNumberFormat="1" applyFill="1" applyAlignment="1">
      <alignment horizontal="left" vertical="top"/>
    </xf>
    <xf numFmtId="0" fontId="0" fillId="0" borderId="0" xfId="0" applyNumberFormat="1" applyAlignment="1">
      <alignment horizontal="center"/>
    </xf>
    <xf numFmtId="0" fontId="0" fillId="0" borderId="0" xfId="0" applyNumberFormat="1" applyAlignment="1">
      <alignment horizontal="center" vertical="center"/>
    </xf>
    <xf numFmtId="0" fontId="0" fillId="4" borderId="0" xfId="0" applyNumberFormat="1" applyFill="1" applyAlignment="1">
      <alignment horizontal="center" vertical="center" wrapText="1"/>
    </xf>
    <xf numFmtId="0" fontId="1" fillId="0" borderId="0" xfId="0" applyNumberFormat="1" applyFont="1" applyAlignment="1">
      <alignment horizontal="center" vertical="center"/>
    </xf>
    <xf numFmtId="0" fontId="0" fillId="0" borderId="0" xfId="0" applyNumberFormat="1" applyFill="1" applyAlignment="1">
      <alignment horizontal="center" vertical="center" wrapText="1"/>
    </xf>
    <xf numFmtId="164" fontId="0" fillId="0" borderId="0" xfId="0" applyNumberFormat="1" applyFill="1" applyAlignment="1">
      <alignment horizontal="center" vertical="center" wrapText="1"/>
    </xf>
    <xf numFmtId="0" fontId="1" fillId="3" borderId="0" xfId="0" applyNumberFormat="1" applyFont="1" applyFill="1" applyAlignment="1">
      <alignment horizontal="center" vertical="center"/>
    </xf>
    <xf numFmtId="0" fontId="0" fillId="3" borderId="0" xfId="0" applyNumberFormat="1" applyFill="1" applyAlignment="1">
      <alignment horizontal="center" vertical="center" wrapText="1"/>
    </xf>
    <xf numFmtId="0" fontId="0" fillId="0" borderId="0" xfId="0" applyNumberFormat="1" applyFill="1" applyAlignment="1">
      <alignment horizontal="center" vertical="center"/>
    </xf>
    <xf numFmtId="0" fontId="0" fillId="3" borderId="0" xfId="0" applyNumberForma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wrapText="1"/>
    </xf>
    <xf numFmtId="0" fontId="0" fillId="0" borderId="0" xfId="0" applyFont="1" applyAlignment="1">
      <alignment horizontal="left" vertical="top" wrapText="1"/>
    </xf>
    <xf numFmtId="6" fontId="0" fillId="4" borderId="0" xfId="0" applyNumberFormat="1" applyFont="1" applyFill="1" applyAlignment="1">
      <alignment horizontal="left" vertical="top" wrapText="1"/>
    </xf>
    <xf numFmtId="0" fontId="0" fillId="0" borderId="0" xfId="0" applyFont="1" applyFill="1" applyAlignment="1">
      <alignment horizontal="left" vertical="top" wrapText="1"/>
    </xf>
    <xf numFmtId="0" fontId="0" fillId="4" borderId="0" xfId="0" applyFont="1" applyFill="1" applyAlignment="1">
      <alignment horizontal="left" vertical="top" wrapText="1"/>
    </xf>
    <xf numFmtId="0" fontId="0" fillId="0" borderId="0" xfId="0" applyFont="1"/>
    <xf numFmtId="0" fontId="0"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xf>
    <xf numFmtId="0" fontId="0" fillId="0" borderId="0" xfId="0" applyFont="1" applyBorder="1"/>
    <xf numFmtId="0" fontId="0" fillId="0" borderId="0" xfId="0" applyFill="1" applyAlignment="1">
      <alignment wrapText="1"/>
    </xf>
    <xf numFmtId="0" fontId="0" fillId="0" borderId="0" xfId="0" applyFill="1" applyAlignment="1"/>
    <xf numFmtId="0" fontId="0" fillId="0" borderId="0" xfId="0" applyFill="1" applyAlignment="1">
      <alignment horizontal="center" vertical="center" wrapText="1"/>
    </xf>
    <xf numFmtId="0" fontId="0" fillId="0" borderId="0" xfId="0" applyFill="1" applyAlignment="1">
      <alignment horizontal="left" vertical="center" wrapText="1"/>
    </xf>
    <xf numFmtId="0" fontId="0" fillId="0" borderId="0" xfId="0" applyFill="1" applyAlignment="1">
      <alignment vertical="center" wrapText="1"/>
    </xf>
    <xf numFmtId="0" fontId="10" fillId="0" borderId="0" xfId="0" applyFont="1" applyAlignment="1">
      <alignment wrapText="1"/>
    </xf>
    <xf numFmtId="0" fontId="10" fillId="0" borderId="0" xfId="0" applyFont="1" applyAlignment="1">
      <alignment horizontal="left" wrapText="1"/>
    </xf>
    <xf numFmtId="0" fontId="10" fillId="0" borderId="0" xfId="0" applyFont="1" applyAlignment="1">
      <alignment horizontal="center" vertical="center" wrapText="1"/>
    </xf>
    <xf numFmtId="0" fontId="10"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xf numFmtId="0" fontId="10" fillId="0" borderId="0" xfId="0" applyFont="1"/>
    <xf numFmtId="0" fontId="11" fillId="0" borderId="0" xfId="0" applyFont="1" applyFill="1" applyAlignment="1">
      <alignment horizontal="left" vertical="top" wrapText="1"/>
    </xf>
    <xf numFmtId="0" fontId="10" fillId="0" borderId="0" xfId="0" applyFont="1" applyFill="1" applyAlignment="1">
      <alignment horizontal="center" vertical="center" wrapText="1"/>
    </xf>
    <xf numFmtId="0" fontId="10" fillId="0" borderId="0" xfId="0" applyFont="1" applyFill="1" applyAlignment="1">
      <alignment horizontal="left" vertical="top" wrapText="1"/>
    </xf>
    <xf numFmtId="0" fontId="12" fillId="0" borderId="0" xfId="0" applyFont="1" applyFill="1" applyAlignment="1">
      <alignment horizontal="left" vertical="top" wrapText="1"/>
    </xf>
    <xf numFmtId="0" fontId="10" fillId="0" borderId="0" xfId="0" applyFont="1" applyFill="1"/>
    <xf numFmtId="6" fontId="10" fillId="0" borderId="0" xfId="0" applyNumberFormat="1" applyFont="1" applyFill="1" applyAlignment="1">
      <alignment horizontal="left" vertical="top" wrapText="1"/>
    </xf>
    <xf numFmtId="0" fontId="12" fillId="0" borderId="0" xfId="0" applyFont="1" applyAlignment="1">
      <alignment horizontal="left" vertical="top" wrapText="1"/>
    </xf>
    <xf numFmtId="0" fontId="11" fillId="0" borderId="0" xfId="0" applyFont="1" applyAlignment="1">
      <alignment horizontal="left" vertical="top" wrapText="1"/>
    </xf>
    <xf numFmtId="10" fontId="10" fillId="0" borderId="0" xfId="0" applyNumberFormat="1" applyFont="1" applyFill="1" applyAlignment="1">
      <alignment horizontal="left" vertical="top"/>
    </xf>
    <xf numFmtId="0" fontId="10" fillId="0" borderId="0" xfId="0" applyFont="1" applyFill="1" applyAlignment="1">
      <alignment horizontal="left" vertical="top"/>
    </xf>
    <xf numFmtId="0" fontId="13" fillId="0" borderId="0" xfId="0" applyFont="1" applyFill="1" applyAlignment="1">
      <alignment horizontal="left" vertical="top" wrapText="1"/>
    </xf>
    <xf numFmtId="10" fontId="10" fillId="0" borderId="0" xfId="0" applyNumberFormat="1" applyFont="1" applyAlignment="1">
      <alignment horizontal="left" vertical="top"/>
    </xf>
    <xf numFmtId="9" fontId="10" fillId="0" borderId="0" xfId="0" applyNumberFormat="1" applyFont="1" applyAlignment="1">
      <alignment horizontal="left" vertical="top"/>
    </xf>
    <xf numFmtId="0" fontId="12" fillId="0" borderId="0" xfId="0" applyFont="1"/>
    <xf numFmtId="0" fontId="10" fillId="0" borderId="0" xfId="0" applyFont="1" applyAlignment="1">
      <alignment horizontal="center" vertical="center"/>
    </xf>
    <xf numFmtId="0" fontId="10" fillId="0" borderId="0" xfId="0" applyFont="1" applyAlignment="1">
      <alignment horizontal="left" vertical="center" wrapText="1"/>
    </xf>
    <xf numFmtId="0" fontId="10" fillId="0" borderId="0" xfId="0" applyNumberFormat="1" applyFont="1" applyFill="1" applyAlignment="1">
      <alignment horizontal="left" vertical="top" wrapText="1"/>
    </xf>
    <xf numFmtId="0" fontId="10" fillId="0" borderId="0" xfId="0" applyFont="1" applyAlignment="1">
      <alignment vertical="center" wrapText="1"/>
    </xf>
    <xf numFmtId="0" fontId="14" fillId="0" borderId="0" xfId="0" applyFont="1" applyAlignment="1">
      <alignment horizontal="center" vertical="center" wrapText="1"/>
    </xf>
    <xf numFmtId="0" fontId="20" fillId="0" borderId="0" xfId="0" applyFont="1" applyAlignment="1">
      <alignment horizontal="left" vertical="center" wrapText="1" indent="1"/>
    </xf>
    <xf numFmtId="0" fontId="20" fillId="0" borderId="5" xfId="0" applyFont="1" applyBorder="1" applyAlignment="1">
      <alignment horizontal="left" vertical="center" wrapText="1" indent="1"/>
    </xf>
    <xf numFmtId="0" fontId="0" fillId="0" borderId="0" xfId="0" applyAlignment="1">
      <alignment vertical="top"/>
    </xf>
    <xf numFmtId="0" fontId="23" fillId="0" borderId="4" xfId="0" applyFont="1" applyBorder="1" applyAlignment="1">
      <alignment horizontal="left" vertical="center" wrapText="1" indent="1"/>
    </xf>
    <xf numFmtId="0" fontId="23" fillId="0" borderId="0" xfId="0" applyFont="1" applyAlignment="1">
      <alignment horizontal="left" vertical="center" wrapText="1" indent="1"/>
    </xf>
    <xf numFmtId="0" fontId="23" fillId="0" borderId="5" xfId="0" applyFont="1" applyBorder="1" applyAlignment="1">
      <alignment horizontal="left" vertical="center" wrapText="1" indent="1"/>
    </xf>
    <xf numFmtId="0" fontId="20" fillId="0" borderId="4" xfId="0" applyFont="1" applyBorder="1" applyAlignment="1">
      <alignment horizontal="left" vertical="center" wrapText="1" indent="1"/>
    </xf>
    <xf numFmtId="0" fontId="14" fillId="0" borderId="4" xfId="0" applyFont="1" applyBorder="1" applyAlignment="1">
      <alignment vertical="top" wrapText="1"/>
    </xf>
    <xf numFmtId="0" fontId="14" fillId="0" borderId="0" xfId="0" applyFont="1" applyAlignment="1">
      <alignment vertical="top" wrapText="1"/>
    </xf>
    <xf numFmtId="0" fontId="20" fillId="0" borderId="4" xfId="0" applyFont="1" applyBorder="1" applyAlignment="1">
      <alignment vertical="center" wrapText="1"/>
    </xf>
    <xf numFmtId="0" fontId="14" fillId="0" borderId="5" xfId="0" applyFont="1" applyBorder="1" applyAlignment="1">
      <alignment vertical="top" wrapText="1"/>
    </xf>
    <xf numFmtId="0" fontId="16" fillId="0" borderId="4" xfId="0" applyFont="1" applyBorder="1" applyAlignment="1">
      <alignment horizontal="left" vertical="top" wrapText="1"/>
    </xf>
    <xf numFmtId="0" fontId="17" fillId="0" borderId="5" xfId="0" applyFont="1" applyBorder="1" applyAlignment="1">
      <alignment horizontal="left" vertical="top" wrapText="1"/>
    </xf>
    <xf numFmtId="0" fontId="17" fillId="0" borderId="5" xfId="0" applyFont="1" applyBorder="1" applyAlignment="1">
      <alignment vertical="top" wrapText="1"/>
    </xf>
    <xf numFmtId="0" fontId="18" fillId="0" borderId="5" xfId="0" applyFont="1" applyBorder="1" applyAlignment="1">
      <alignment horizontal="left" vertical="top" wrapText="1"/>
    </xf>
    <xf numFmtId="0" fontId="14" fillId="0" borderId="4" xfId="0" applyFont="1" applyBorder="1" applyAlignment="1">
      <alignment horizontal="left" vertical="top" wrapText="1"/>
    </xf>
    <xf numFmtId="0" fontId="25" fillId="0" borderId="0" xfId="0" applyFont="1" applyAlignment="1">
      <alignment horizontal="left" vertical="top"/>
    </xf>
    <xf numFmtId="0" fontId="14" fillId="0" borderId="5" xfId="0" applyFont="1" applyBorder="1" applyAlignment="1">
      <alignment horizontal="left" vertical="top" wrapText="1"/>
    </xf>
    <xf numFmtId="0" fontId="17" fillId="0" borderId="4" xfId="0" applyFont="1" applyBorder="1" applyAlignment="1">
      <alignment vertical="top" wrapText="1"/>
    </xf>
    <xf numFmtId="0" fontId="17" fillId="0" borderId="0" xfId="0" applyFont="1" applyAlignment="1">
      <alignment vertical="top" wrapText="1"/>
    </xf>
    <xf numFmtId="0" fontId="17" fillId="0" borderId="0" xfId="0" applyFont="1" applyAlignment="1">
      <alignment vertical="top"/>
    </xf>
    <xf numFmtId="0" fontId="16" fillId="0" borderId="4" xfId="0" applyFont="1" applyBorder="1" applyAlignment="1">
      <alignment vertical="center" wrapText="1"/>
    </xf>
    <xf numFmtId="0" fontId="16" fillId="0" borderId="5" xfId="0" applyFont="1" applyBorder="1" applyAlignment="1">
      <alignment vertical="center" wrapText="1"/>
    </xf>
    <xf numFmtId="0" fontId="22" fillId="9" borderId="3" xfId="0" applyFont="1" applyFill="1" applyBorder="1" applyAlignment="1">
      <alignment vertical="center" wrapText="1"/>
    </xf>
    <xf numFmtId="0" fontId="19" fillId="9" borderId="3" xfId="0" applyFont="1" applyFill="1" applyBorder="1" applyAlignment="1">
      <alignment vertical="center" wrapText="1"/>
    </xf>
    <xf numFmtId="0" fontId="14" fillId="0" borderId="5" xfId="0" applyFont="1" applyBorder="1"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5"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7" borderId="6" xfId="0" applyFill="1" applyBorder="1"/>
    <xf numFmtId="0" fontId="0" fillId="6" borderId="6" xfId="0" applyFill="1" applyBorder="1"/>
    <xf numFmtId="0" fontId="0" fillId="8" borderId="6" xfId="0" applyFill="1" applyBorder="1"/>
    <xf numFmtId="0" fontId="5" fillId="0" borderId="6" xfId="0" applyFont="1" applyBorder="1" applyAlignment="1">
      <alignment horizontal="left" vertical="top" wrapText="1"/>
    </xf>
    <xf numFmtId="0" fontId="0" fillId="11" borderId="6" xfId="0" applyFill="1" applyBorder="1"/>
    <xf numFmtId="0" fontId="0" fillId="12" borderId="6" xfId="0" applyFill="1" applyBorder="1"/>
    <xf numFmtId="0" fontId="0" fillId="10" borderId="6" xfId="0" applyFill="1" applyBorder="1"/>
    <xf numFmtId="0" fontId="0" fillId="0" borderId="6" xfId="0" applyBorder="1" applyAlignment="1">
      <alignment horizontal="left" vertical="top" wrapText="1"/>
    </xf>
    <xf numFmtId="0" fontId="0" fillId="0" borderId="6" xfId="0" applyBorder="1"/>
    <xf numFmtId="0" fontId="0" fillId="0" borderId="6" xfId="0" applyBorder="1"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0" xfId="0" applyFill="1" applyBorder="1"/>
    <xf numFmtId="0" fontId="27" fillId="0" borderId="0" xfId="2"/>
    <xf numFmtId="0" fontId="5" fillId="0" borderId="7" xfId="0" applyFont="1" applyBorder="1" applyAlignment="1">
      <alignment horizontal="left"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0" fillId="13" borderId="6" xfId="0" applyFill="1" applyBorder="1"/>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6" xfId="0" applyFill="1" applyBorder="1"/>
    <xf numFmtId="0" fontId="43" fillId="0" borderId="0" xfId="43" applyAlignment="1">
      <alignment horizontal="left" vertical="center"/>
    </xf>
    <xf numFmtId="0" fontId="43" fillId="0" borderId="0" xfId="43" applyAlignment="1">
      <alignment vertical="center"/>
    </xf>
    <xf numFmtId="0" fontId="43" fillId="0" borderId="0" xfId="43" applyAlignment="1">
      <alignment vertical="center"/>
    </xf>
    <xf numFmtId="0" fontId="0" fillId="0" borderId="0" xfId="0"/>
    <xf numFmtId="0" fontId="0" fillId="0" borderId="6" xfId="0" applyBorder="1" applyAlignment="1">
      <alignment wrapText="1"/>
    </xf>
    <xf numFmtId="0" fontId="0" fillId="0" borderId="0" xfId="0"/>
    <xf numFmtId="0" fontId="0" fillId="0" borderId="0" xfId="0" applyAlignment="1">
      <alignment wrapText="1"/>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43" fillId="0" borderId="0" xfId="43" applyAlignment="1">
      <alignment vertical="center"/>
    </xf>
    <xf numFmtId="0" fontId="0" fillId="0" borderId="6" xfId="0" applyFill="1" applyBorder="1" applyAlignment="1">
      <alignment horizontal="left" vertical="top" wrapText="1"/>
    </xf>
    <xf numFmtId="0" fontId="27" fillId="0" borderId="0" xfId="2" applyFill="1"/>
    <xf numFmtId="0" fontId="0" fillId="0" borderId="20" xfId="0" applyFill="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horizontal="left" vertical="top" wrapText="1"/>
    </xf>
    <xf numFmtId="0" fontId="0" fillId="0" borderId="0" xfId="0" applyBorder="1"/>
    <xf numFmtId="0" fontId="0" fillId="0" borderId="0" xfId="0" applyFill="1" applyBorder="1" applyAlignment="1">
      <alignment horizontal="left" vertical="top" wrapText="1"/>
    </xf>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0" fillId="45" borderId="6"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39" fillId="46" borderId="6" xfId="0" applyFont="1" applyFill="1" applyBorder="1" applyAlignment="1">
      <alignment horizontal="left" vertical="top" wrapText="1"/>
    </xf>
    <xf numFmtId="0" fontId="39" fillId="46" borderId="0" xfId="0" applyFont="1" applyFill="1" applyBorder="1" applyAlignment="1">
      <alignment horizontal="left" vertical="top" wrapText="1"/>
    </xf>
    <xf numFmtId="0" fontId="0" fillId="47" borderId="0" xfId="0" applyFill="1" applyAlignment="1">
      <alignment horizontal="left" vertical="top"/>
    </xf>
    <xf numFmtId="11" fontId="0" fillId="0" borderId="6" xfId="0" applyNumberFormat="1" applyBorder="1" applyAlignment="1">
      <alignment horizontal="left" vertical="top" wrapText="1"/>
    </xf>
    <xf numFmtId="11" fontId="0" fillId="0" borderId="6" xfId="0" applyNumberFormat="1" applyBorder="1"/>
    <xf numFmtId="0" fontId="0" fillId="13" borderId="6" xfId="0" applyFill="1" applyBorder="1" applyAlignment="1">
      <alignment horizontal="left" vertical="top" wrapText="1"/>
    </xf>
    <xf numFmtId="0" fontId="0" fillId="13" borderId="6" xfId="0" applyFill="1" applyBorder="1" applyAlignment="1">
      <alignment horizontal="left" vertical="top"/>
    </xf>
    <xf numFmtId="0" fontId="0" fillId="13" borderId="0" xfId="0" applyFill="1" applyBorder="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39" fillId="46" borderId="22" xfId="0" applyFont="1" applyFill="1" applyBorder="1" applyAlignment="1">
      <alignment horizontal="left" vertical="top" wrapText="1"/>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0" xfId="0"/>
    <xf numFmtId="0" fontId="0" fillId="0" borderId="24" xfId="0" applyBorder="1" applyAlignment="1">
      <alignment horizontal="left" vertical="top"/>
    </xf>
    <xf numFmtId="0" fontId="39" fillId="46" borderId="25" xfId="0" applyFont="1" applyFill="1" applyBorder="1" applyAlignment="1">
      <alignment horizontal="left" vertical="top" wrapText="1"/>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0" fontId="0" fillId="0" borderId="0" xfId="0"/>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14" fillId="0" borderId="0" xfId="0" applyFont="1" applyAlignment="1">
      <alignment vertical="top" wrapText="1"/>
    </xf>
    <xf numFmtId="6" fontId="0" fillId="4" borderId="0" xfId="0" applyNumberFormat="1" applyFill="1" applyAlignment="1">
      <alignment horizontal="left" vertical="top" wrapText="1"/>
    </xf>
    <xf numFmtId="0" fontId="0" fillId="0" borderId="24" xfId="0" applyBorder="1"/>
    <xf numFmtId="0" fontId="39" fillId="46" borderId="9" xfId="0" applyFont="1" applyFill="1" applyBorder="1" applyAlignment="1">
      <alignment horizontal="left" vertical="top" wrapText="1"/>
    </xf>
    <xf numFmtId="0" fontId="0" fillId="0" borderId="9" xfId="0" applyBorder="1" applyAlignment="1">
      <alignment vertical="top" wrapText="1"/>
    </xf>
    <xf numFmtId="0" fontId="39" fillId="46" borderId="7" xfId="0" applyFont="1" applyFill="1" applyBorder="1" applyAlignment="1">
      <alignment horizontal="left" vertical="top" wrapText="1"/>
    </xf>
    <xf numFmtId="0" fontId="0" fillId="0" borderId="7" xfId="0" applyBorder="1"/>
    <xf numFmtId="11" fontId="0" fillId="0" borderId="10" xfId="0" applyNumberFormat="1" applyFill="1" applyBorder="1" applyAlignment="1">
      <alignment horizontal="left" vertical="top" wrapText="1"/>
    </xf>
    <xf numFmtId="11" fontId="0" fillId="0" borderId="10" xfId="0" applyNumberFormat="1" applyBorder="1" applyAlignment="1">
      <alignment horizontal="left" vertical="top" wrapText="1"/>
    </xf>
    <xf numFmtId="11" fontId="0" fillId="0" borderId="10" xfId="0" applyNumberFormat="1" applyBorder="1"/>
    <xf numFmtId="0" fontId="0" fillId="0" borderId="10" xfId="0" applyBorder="1"/>
    <xf numFmtId="0" fontId="0" fillId="0" borderId="0" xfId="0" applyAlignment="1">
      <alignment horizontal="left" vertical="top" wrapText="1"/>
    </xf>
    <xf numFmtId="0" fontId="0" fillId="0" borderId="0" xfId="0" applyFill="1" applyAlignment="1">
      <alignment horizontal="left" vertical="top" wrapText="1"/>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0" xfId="0" applyFont="1" applyAlignment="1">
      <alignment horizontal="left" vertical="top" wrapText="1"/>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5" fillId="46" borderId="6" xfId="0" applyFont="1" applyFill="1" applyBorder="1" applyAlignment="1">
      <alignment horizontal="left"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0" fillId="3" borderId="26" xfId="0" applyFill="1" applyBorder="1" applyAlignment="1">
      <alignment horizontal="left" wrapText="1"/>
    </xf>
    <xf numFmtId="0" fontId="0" fillId="13" borderId="31" xfId="0" applyFill="1" applyBorder="1" applyAlignment="1">
      <alignment horizontal="left" vertical="top"/>
    </xf>
    <xf numFmtId="0" fontId="27" fillId="0" borderId="27" xfId="2" applyBorder="1" applyAlignment="1">
      <alignment horizontal="left"/>
    </xf>
    <xf numFmtId="0" fontId="0" fillId="48" borderId="6" xfId="0" applyFont="1" applyFill="1" applyBorder="1" applyAlignment="1">
      <alignment horizontal="left" wrapText="1"/>
    </xf>
    <xf numFmtId="0" fontId="0" fillId="13" borderId="30" xfId="0" applyFill="1" applyBorder="1" applyAlignment="1">
      <alignment horizontal="left" vertical="top" wrapText="1"/>
    </xf>
    <xf numFmtId="0" fontId="25" fillId="0" borderId="28" xfId="0" applyFont="1" applyBorder="1" applyAlignment="1">
      <alignment horizontal="left" vertical="top" wrapText="1"/>
    </xf>
    <xf numFmtId="0" fontId="6" fillId="0" borderId="0" xfId="0" applyFont="1" applyAlignment="1">
      <alignment horizontal="left" vertical="top" wrapText="1"/>
    </xf>
    <xf numFmtId="0" fontId="47" fillId="0" borderId="8" xfId="0" applyFont="1" applyBorder="1" applyAlignment="1">
      <alignment horizontal="left" vertical="top" wrapText="1"/>
    </xf>
    <xf numFmtId="0" fontId="25" fillId="0" borderId="0" xfId="0" applyFont="1" applyFill="1" applyAlignment="1">
      <alignment horizontal="left" vertical="top" wrapText="1"/>
    </xf>
    <xf numFmtId="0" fontId="25" fillId="0" borderId="0" xfId="0" applyFont="1" applyAlignment="1">
      <alignment vertical="top" wrapText="1"/>
    </xf>
    <xf numFmtId="0" fontId="47" fillId="0" borderId="8" xfId="0" applyFont="1" applyFill="1" applyBorder="1" applyAlignment="1">
      <alignment horizontal="left" vertical="top" wrapText="1"/>
    </xf>
    <xf numFmtId="0" fontId="48" fillId="0" borderId="0" xfId="0" applyFont="1" applyAlignment="1">
      <alignment horizontal="left" vertical="top" wrapText="1"/>
    </xf>
    <xf numFmtId="0" fontId="25" fillId="0" borderId="0" xfId="0" applyFont="1" applyFill="1" applyAlignment="1">
      <alignment vertical="top" wrapText="1"/>
    </xf>
    <xf numFmtId="0" fontId="25" fillId="0" borderId="0" xfId="0" applyFont="1" applyAlignment="1">
      <alignment horizontal="left" vertical="top" wrapText="1"/>
    </xf>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Fill="1"/>
    <xf numFmtId="0" fontId="0" fillId="0" borderId="0" xfId="0" applyAlignment="1">
      <alignment horizontal="left" wrapText="1"/>
    </xf>
    <xf numFmtId="0" fontId="0" fillId="0" borderId="0" xfId="0" applyAlignment="1">
      <alignment horizontal="left" vertical="top"/>
    </xf>
    <xf numFmtId="0" fontId="0" fillId="0" borderId="0" xfId="0" applyFill="1" applyAlignment="1">
      <alignment horizontal="left" vertical="top" wrapText="1"/>
    </xf>
    <xf numFmtId="0" fontId="0" fillId="0"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xf>
    <xf numFmtId="0" fontId="0" fillId="3" borderId="0" xfId="0" applyFont="1" applyFill="1" applyAlignment="1">
      <alignment horizontal="left" vertical="top" wrapText="1"/>
    </xf>
    <xf numFmtId="0" fontId="0" fillId="3" borderId="0" xfId="0" applyFill="1"/>
    <xf numFmtId="0" fontId="5" fillId="0" borderId="0" xfId="0" applyFont="1" applyAlignment="1">
      <alignment horizontal="left" vertical="top" wrapText="1"/>
    </xf>
    <xf numFmtId="0" fontId="0" fillId="0" borderId="0" xfId="0" applyAlignment="1">
      <alignment vertical="top" wrapText="1"/>
    </xf>
    <xf numFmtId="0" fontId="0" fillId="0" borderId="6" xfId="0" applyBorder="1" applyAlignment="1">
      <alignment horizontal="left" vertical="top" wrapText="1"/>
    </xf>
    <xf numFmtId="0" fontId="0" fillId="0" borderId="10" xfId="0" applyBorder="1" applyAlignment="1">
      <alignment horizontal="left" vertical="top" wrapText="1"/>
    </xf>
    <xf numFmtId="0" fontId="27" fillId="0" borderId="0" xfId="2"/>
    <xf numFmtId="0" fontId="0" fillId="0" borderId="6" xfId="0" applyFill="1" applyBorder="1" applyAlignment="1">
      <alignment horizontal="left" vertical="top" wrapText="1"/>
    </xf>
    <xf numFmtId="0" fontId="0" fillId="0" borderId="0" xfId="0" applyBorder="1"/>
    <xf numFmtId="0" fontId="5" fillId="0" borderId="0" xfId="0" applyFont="1" applyFill="1" applyBorder="1" applyAlignment="1">
      <alignment horizontal="left" vertical="top" wrapText="1"/>
    </xf>
    <xf numFmtId="0" fontId="0" fillId="0" borderId="6" xfId="0" applyFill="1" applyBorder="1" applyAlignment="1">
      <alignment horizontal="left" vertical="top"/>
    </xf>
    <xf numFmtId="0" fontId="0" fillId="0" borderId="0" xfId="0" applyFill="1" applyBorder="1" applyAlignment="1">
      <alignment horizontal="left" vertical="top"/>
    </xf>
    <xf numFmtId="0" fontId="27" fillId="0" borderId="0" xfId="2" applyAlignment="1">
      <alignment horizontal="left" vertical="top"/>
    </xf>
    <xf numFmtId="0" fontId="0" fillId="0" borderId="6" xfId="0" applyBorder="1" applyAlignment="1">
      <alignment horizontal="left" vertical="top"/>
    </xf>
    <xf numFmtId="0" fontId="0" fillId="7" borderId="6" xfId="0" applyFill="1" applyBorder="1" applyAlignment="1">
      <alignment horizontal="left" vertical="top"/>
    </xf>
    <xf numFmtId="0" fontId="0" fillId="6" borderId="6" xfId="0" applyFill="1" applyBorder="1" applyAlignment="1">
      <alignment horizontal="left" vertical="top"/>
    </xf>
    <xf numFmtId="0" fontId="0" fillId="8" borderId="6" xfId="0" applyFill="1" applyBorder="1" applyAlignment="1">
      <alignment horizontal="left" vertical="top"/>
    </xf>
    <xf numFmtId="0" fontId="0" fillId="10" borderId="6" xfId="0" applyFill="1" applyBorder="1" applyAlignment="1">
      <alignment horizontal="left" vertical="top"/>
    </xf>
    <xf numFmtId="0" fontId="0" fillId="11" borderId="6" xfId="0" applyFill="1" applyBorder="1" applyAlignment="1">
      <alignment horizontal="left" vertical="top"/>
    </xf>
    <xf numFmtId="0" fontId="0" fillId="12" borderId="6" xfId="0" applyFill="1" applyBorder="1" applyAlignment="1">
      <alignment horizontal="left" vertical="top"/>
    </xf>
    <xf numFmtId="0" fontId="43" fillId="0" borderId="6" xfId="43" applyBorder="1" applyAlignment="1">
      <alignment horizontal="left" vertical="top"/>
    </xf>
    <xf numFmtId="0" fontId="0" fillId="47" borderId="0" xfId="0" applyFill="1" applyAlignment="1">
      <alignment horizontal="left" vertical="top"/>
    </xf>
    <xf numFmtId="0" fontId="0" fillId="13" borderId="0" xfId="0" applyFill="1" applyAlignment="1">
      <alignment horizontal="left" vertical="top"/>
    </xf>
    <xf numFmtId="0" fontId="0" fillId="0" borderId="0" xfId="0" applyFill="1" applyAlignment="1">
      <alignment vertical="top" wrapText="1"/>
    </xf>
    <xf numFmtId="0" fontId="0" fillId="0" borderId="9" xfId="0" applyFill="1" applyBorder="1" applyAlignment="1">
      <alignment horizontal="left" vertical="top" wrapText="1"/>
    </xf>
    <xf numFmtId="0" fontId="0" fillId="0" borderId="9" xfId="0" applyBorder="1" applyAlignment="1">
      <alignment horizontal="left" vertical="top" wrapText="1"/>
    </xf>
    <xf numFmtId="0" fontId="5" fillId="0" borderId="0" xfId="0" applyFont="1" applyFill="1" applyAlignment="1">
      <alignment horizontal="left" vertical="top" wrapText="1"/>
    </xf>
    <xf numFmtId="0" fontId="0" fillId="0" borderId="10" xfId="0" applyFill="1" applyBorder="1" applyAlignment="1">
      <alignment horizontal="left" vertical="top"/>
    </xf>
    <xf numFmtId="0" fontId="0" fillId="12" borderId="10" xfId="0" applyFill="1" applyBorder="1" applyAlignment="1">
      <alignment horizontal="left" vertical="top"/>
    </xf>
    <xf numFmtId="0" fontId="39" fillId="46" borderId="21" xfId="0" applyFont="1" applyFill="1" applyBorder="1" applyAlignment="1">
      <alignment horizontal="left" vertical="top" wrapText="1"/>
    </xf>
    <xf numFmtId="0" fontId="0" fillId="11" borderId="10" xfId="0" applyFill="1" applyBorder="1" applyAlignment="1">
      <alignment horizontal="left" vertical="top"/>
    </xf>
    <xf numFmtId="0" fontId="0" fillId="0" borderId="7" xfId="0" applyBorder="1" applyAlignment="1">
      <alignment horizontal="left" vertical="top"/>
    </xf>
    <xf numFmtId="0" fontId="0" fillId="10" borderId="10" xfId="0" applyFill="1" applyBorder="1" applyAlignment="1">
      <alignment horizontal="left" vertical="top"/>
    </xf>
    <xf numFmtId="0" fontId="27" fillId="0" borderId="7" xfId="2" applyFill="1" applyBorder="1" applyAlignment="1">
      <alignment horizontal="left" vertical="top"/>
    </xf>
    <xf numFmtId="0" fontId="0" fillId="0" borderId="7" xfId="0" applyFill="1" applyBorder="1" applyAlignment="1">
      <alignment horizontal="left" vertical="top"/>
    </xf>
    <xf numFmtId="0" fontId="0" fillId="0" borderId="10" xfId="0" applyFill="1" applyBorder="1" applyAlignment="1">
      <alignment horizontal="left" vertical="top" wrapText="1"/>
    </xf>
    <xf numFmtId="0" fontId="27" fillId="0" borderId="7" xfId="2" applyBorder="1" applyAlignment="1">
      <alignment horizontal="left" vertical="top"/>
    </xf>
    <xf numFmtId="0" fontId="0" fillId="0" borderId="23" xfId="0" applyBorder="1" applyAlignment="1">
      <alignment horizontal="left" vertical="top" wrapText="1"/>
    </xf>
    <xf numFmtId="0" fontId="0" fillId="0" borderId="7" xfId="0" applyBorder="1" applyAlignment="1">
      <alignment horizontal="left" vertical="top" wrapText="1"/>
    </xf>
    <xf numFmtId="0" fontId="0" fillId="0" borderId="24" xfId="0" applyBorder="1" applyAlignment="1">
      <alignment horizontal="left" vertical="top"/>
    </xf>
    <xf numFmtId="11" fontId="0" fillId="0" borderId="0" xfId="0" applyNumberFormat="1" applyFill="1" applyBorder="1" applyAlignment="1">
      <alignment horizontal="left" vertical="top"/>
    </xf>
    <xf numFmtId="0" fontId="0" fillId="47" borderId="10" xfId="0" applyFill="1" applyBorder="1" applyAlignment="1">
      <alignment horizontal="left" vertical="top" wrapText="1"/>
    </xf>
    <xf numFmtId="0" fontId="0" fillId="47" borderId="10" xfId="0" applyFill="1" applyBorder="1" applyAlignment="1">
      <alignment horizontal="left" vertical="top"/>
    </xf>
    <xf numFmtId="0" fontId="43" fillId="47" borderId="10" xfId="43" applyFill="1" applyBorder="1" applyAlignment="1">
      <alignment horizontal="left" vertical="top"/>
    </xf>
    <xf numFmtId="0" fontId="0" fillId="47" borderId="23" xfId="0" applyFill="1" applyBorder="1" applyAlignment="1">
      <alignment horizontal="left" vertical="top" wrapText="1"/>
    </xf>
    <xf numFmtId="0" fontId="0" fillId="13" borderId="23" xfId="0" applyFill="1" applyBorder="1" applyAlignment="1">
      <alignment horizontal="left" vertical="top" wrapText="1"/>
    </xf>
    <xf numFmtId="0" fontId="0" fillId="0" borderId="6" xfId="0" applyBorder="1" applyAlignment="1">
      <alignment horizontal="left"/>
    </xf>
    <xf numFmtId="0" fontId="0" fillId="13" borderId="24" xfId="0" applyFill="1" applyBorder="1" applyAlignment="1">
      <alignment horizontal="left" vertical="top"/>
    </xf>
    <xf numFmtId="0" fontId="0" fillId="47" borderId="24" xfId="0" applyFill="1" applyBorder="1" applyAlignment="1">
      <alignment horizontal="left" vertical="top"/>
    </xf>
    <xf numFmtId="0" fontId="0" fillId="47" borderId="24" xfId="0" applyFill="1" applyBorder="1" applyAlignment="1">
      <alignment horizontal="left" vertical="top" wrapText="1"/>
    </xf>
    <xf numFmtId="0" fontId="0" fillId="13" borderId="10" xfId="0" applyFill="1" applyBorder="1" applyAlignment="1">
      <alignment horizontal="left" vertical="top" wrapText="1"/>
    </xf>
    <xf numFmtId="0" fontId="27" fillId="47" borderId="24" xfId="2" applyFill="1" applyBorder="1" applyAlignment="1">
      <alignment horizontal="left" vertical="top"/>
    </xf>
    <xf numFmtId="0" fontId="0" fillId="13" borderId="10" xfId="0" applyFill="1" applyBorder="1" applyAlignment="1">
      <alignment horizontal="left" vertical="top"/>
    </xf>
    <xf numFmtId="0" fontId="0" fillId="0" borderId="6" xfId="0" applyBorder="1" applyAlignment="1">
      <alignment horizontal="left" wrapText="1"/>
    </xf>
    <xf numFmtId="0" fontId="27" fillId="0" borderId="6" xfId="2" applyBorder="1" applyAlignment="1">
      <alignment horizontal="left"/>
    </xf>
    <xf numFmtId="0" fontId="0" fillId="45" borderId="6" xfId="0" applyFill="1" applyBorder="1" applyAlignment="1">
      <alignment horizontal="left"/>
    </xf>
    <xf numFmtId="0" fontId="0" fillId="0" borderId="6" xfId="0" applyFill="1" applyBorder="1" applyAlignment="1">
      <alignment horizontal="left"/>
    </xf>
    <xf numFmtId="0" fontId="0" fillId="0" borderId="6" xfId="0" applyFill="1" applyBorder="1" applyAlignment="1">
      <alignment horizontal="left" wrapText="1"/>
    </xf>
    <xf numFmtId="0" fontId="39" fillId="46" borderId="6" xfId="0" applyFont="1" applyFill="1" applyBorder="1" applyAlignment="1">
      <alignment horizontal="left" wrapText="1"/>
    </xf>
    <xf numFmtId="11" fontId="0" fillId="0" borderId="6" xfId="0" applyNumberFormat="1" applyBorder="1" applyAlignment="1">
      <alignment horizontal="left"/>
    </xf>
    <xf numFmtId="11" fontId="0" fillId="0" borderId="6" xfId="0" applyNumberFormat="1" applyFill="1" applyBorder="1" applyAlignment="1">
      <alignment horizontal="left"/>
    </xf>
    <xf numFmtId="0" fontId="27" fillId="47" borderId="6" xfId="2" applyFill="1" applyBorder="1" applyAlignment="1">
      <alignment horizontal="left"/>
    </xf>
    <xf numFmtId="0" fontId="43" fillId="0" borderId="6" xfId="43" applyFill="1" applyBorder="1" applyAlignment="1">
      <alignment horizontal="left"/>
    </xf>
    <xf numFmtId="0" fontId="0" fillId="0" borderId="6" xfId="0" applyNumberFormat="1" applyBorder="1" applyAlignment="1">
      <alignment horizontal="left"/>
    </xf>
    <xf numFmtId="0" fontId="0" fillId="3" borderId="6" xfId="0" applyFill="1" applyBorder="1" applyAlignment="1">
      <alignment horizontal="left" wrapText="1"/>
    </xf>
    <xf numFmtId="0" fontId="0" fillId="3" borderId="6" xfId="0" applyFill="1" applyBorder="1" applyAlignment="1">
      <alignment horizontal="left"/>
    </xf>
    <xf numFmtId="0" fontId="0" fillId="0" borderId="6" xfId="0" applyNumberFormat="1" applyFill="1" applyBorder="1" applyAlignment="1">
      <alignment horizontal="left" vertical="top"/>
    </xf>
    <xf numFmtId="0" fontId="45" fillId="0" borderId="6" xfId="0" applyFont="1" applyBorder="1" applyAlignment="1">
      <alignment horizontal="left" vertical="top" wrapText="1"/>
    </xf>
    <xf numFmtId="0" fontId="45" fillId="47" borderId="10" xfId="0" applyFont="1" applyFill="1" applyBorder="1" applyAlignment="1">
      <alignment horizontal="left" vertical="top" wrapText="1"/>
    </xf>
    <xf numFmtId="0" fontId="45" fillId="13" borderId="10" xfId="0" applyFont="1" applyFill="1" applyBorder="1" applyAlignment="1">
      <alignment horizontal="left" vertical="top" wrapText="1"/>
    </xf>
    <xf numFmtId="0" fontId="45" fillId="0" borderId="6" xfId="0" applyFont="1" applyFill="1" applyBorder="1" applyAlignment="1">
      <alignment horizontal="left" vertical="top" wrapText="1"/>
    </xf>
    <xf numFmtId="0" fontId="0" fillId="0" borderId="6" xfId="0" applyFont="1" applyFill="1" applyBorder="1" applyAlignment="1">
      <alignment horizontal="left" wrapText="1"/>
    </xf>
    <xf numFmtId="0" fontId="0" fillId="0" borderId="6" xfId="0" applyFont="1" applyBorder="1" applyAlignment="1">
      <alignment horizontal="left" wrapText="1"/>
    </xf>
    <xf numFmtId="0" fontId="0" fillId="3" borderId="6" xfId="0" applyFont="1" applyFill="1" applyBorder="1" applyAlignment="1">
      <alignment horizontal="left" wrapText="1"/>
    </xf>
    <xf numFmtId="0" fontId="0" fillId="0" borderId="0" xfId="0" applyFont="1" applyFill="1" applyBorder="1" applyAlignment="1">
      <alignment horizontal="left" vertical="top"/>
    </xf>
    <xf numFmtId="0" fontId="0" fillId="0" borderId="6" xfId="0" applyFont="1" applyBorder="1" applyAlignment="1">
      <alignment horizontal="left" vertical="top"/>
    </xf>
    <xf numFmtId="0" fontId="25" fillId="0" borderId="8" xfId="0" applyFont="1" applyBorder="1" applyAlignment="1">
      <alignment horizontal="left" vertical="top" wrapText="1"/>
    </xf>
    <xf numFmtId="0" fontId="47" fillId="0" borderId="8" xfId="0" applyFont="1" applyBorder="1" applyAlignment="1">
      <alignment vertical="top" wrapText="1"/>
    </xf>
    <xf numFmtId="0" fontId="47" fillId="0" borderId="0" xfId="0" applyFont="1" applyBorder="1" applyAlignment="1">
      <alignment vertical="top" wrapText="1"/>
    </xf>
    <xf numFmtId="0" fontId="25" fillId="0" borderId="28" xfId="0" applyFont="1" applyBorder="1" applyAlignment="1">
      <alignment vertical="top" wrapText="1"/>
    </xf>
    <xf numFmtId="0" fontId="25" fillId="0" borderId="8" xfId="0" applyFont="1" applyBorder="1" applyAlignment="1">
      <alignment vertical="top" wrapText="1"/>
    </xf>
    <xf numFmtId="0" fontId="25" fillId="0" borderId="0" xfId="0" applyFont="1" applyBorder="1" applyAlignment="1">
      <alignment horizontal="left" vertical="top" wrapText="1"/>
    </xf>
    <xf numFmtId="0" fontId="25" fillId="0" borderId="0" xfId="0" applyFont="1" applyBorder="1" applyAlignment="1">
      <alignmen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25" fillId="0" borderId="8" xfId="0" applyFont="1" applyBorder="1" applyAlignment="1">
      <alignment horizontal="center" vertical="top" wrapText="1"/>
    </xf>
    <xf numFmtId="1" fontId="25" fillId="0" borderId="8" xfId="0" applyNumberFormat="1" applyFont="1" applyBorder="1" applyAlignment="1">
      <alignment horizontal="center" vertical="top" wrapText="1"/>
    </xf>
    <xf numFmtId="1" fontId="25" fillId="0" borderId="28" xfId="0" applyNumberFormat="1" applyFont="1" applyBorder="1" applyAlignment="1">
      <alignment horizontal="center" vertical="top" wrapText="1"/>
    </xf>
    <xf numFmtId="1" fontId="25" fillId="0" borderId="0" xfId="0" applyNumberFormat="1" applyFont="1" applyAlignment="1">
      <alignment horizontal="center" vertical="top" wrapText="1"/>
    </xf>
    <xf numFmtId="2" fontId="25" fillId="0" borderId="8" xfId="0" applyNumberFormat="1" applyFont="1" applyBorder="1" applyAlignment="1">
      <alignment horizontal="center" vertical="top" wrapText="1"/>
    </xf>
    <xf numFmtId="2" fontId="25" fillId="0" borderId="28" xfId="0" applyNumberFormat="1" applyFont="1" applyBorder="1" applyAlignment="1">
      <alignment horizontal="center" vertical="top" wrapText="1"/>
    </xf>
    <xf numFmtId="2" fontId="25" fillId="0" borderId="0" xfId="0" applyNumberFormat="1" applyFont="1" applyAlignment="1">
      <alignment horizontal="center" vertical="top" wrapText="1"/>
    </xf>
    <xf numFmtId="0" fontId="25" fillId="0" borderId="0" xfId="0" applyFont="1" applyFill="1" applyBorder="1" applyAlignment="1">
      <alignment horizontal="left" vertical="top" wrapText="1"/>
    </xf>
    <xf numFmtId="0" fontId="0" fillId="0" borderId="0" xfId="0" applyBorder="1" applyAlignment="1">
      <alignment horizontal="left" vertical="top"/>
    </xf>
    <xf numFmtId="0" fontId="25" fillId="0" borderId="0" xfId="0" applyFont="1" applyFill="1" applyBorder="1" applyAlignment="1">
      <alignment vertical="top" wrapText="1"/>
    </xf>
    <xf numFmtId="0" fontId="48" fillId="0" borderId="0" xfId="0" applyFont="1" applyBorder="1" applyAlignment="1">
      <alignment horizontal="left" vertical="top" wrapText="1"/>
    </xf>
    <xf numFmtId="0" fontId="47" fillId="0" borderId="8" xfId="0" applyFont="1" applyFill="1" applyBorder="1" applyAlignment="1">
      <alignment vertical="top" wrapText="1"/>
    </xf>
    <xf numFmtId="0" fontId="25" fillId="0" borderId="8" xfId="0" applyFont="1" applyFill="1" applyBorder="1" applyAlignment="1">
      <alignment vertical="top" wrapText="1"/>
    </xf>
    <xf numFmtId="0" fontId="10" fillId="0" borderId="0" xfId="0" applyFont="1" applyAlignment="1">
      <alignment horizontal="left" vertical="center" wrapText="1"/>
    </xf>
    <xf numFmtId="0" fontId="10" fillId="0" borderId="0" xfId="0" applyFont="1" applyAlignment="1">
      <alignment horizontal="left" vertical="top" wrapText="1"/>
    </xf>
    <xf numFmtId="0" fontId="0" fillId="0" borderId="21" xfId="0" applyFill="1" applyBorder="1" applyAlignment="1">
      <alignment horizontal="left" vertical="top"/>
    </xf>
    <xf numFmtId="0" fontId="39" fillId="46" borderId="32"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50" fillId="0" borderId="0" xfId="0" applyFont="1" applyFill="1" applyBorder="1" applyAlignment="1">
      <alignment horizontal="left" vertical="top" wrapText="1"/>
    </xf>
    <xf numFmtId="0" fontId="51" fillId="0" borderId="8" xfId="0" applyFont="1" applyFill="1" applyBorder="1" applyAlignment="1">
      <alignment horizontal="left" vertical="top" wrapText="1"/>
    </xf>
    <xf numFmtId="0" fontId="50" fillId="0" borderId="8" xfId="0" applyFont="1" applyFill="1" applyBorder="1" applyAlignment="1">
      <alignment horizontal="left" vertical="top" wrapText="1"/>
    </xf>
    <xf numFmtId="0" fontId="50" fillId="0" borderId="28" xfId="0" applyFont="1" applyFill="1" applyBorder="1" applyAlignment="1">
      <alignment horizontal="left" vertical="top" wrapText="1"/>
    </xf>
    <xf numFmtId="0" fontId="0" fillId="0" borderId="0" xfId="0" applyAlignment="1">
      <alignment horizontal="left" vertical="top" wrapText="1"/>
    </xf>
    <xf numFmtId="0" fontId="0" fillId="0" borderId="0" xfId="0" applyFill="1" applyAlignment="1">
      <alignment horizontal="left" vertical="top" wrapText="1"/>
    </xf>
    <xf numFmtId="0" fontId="0" fillId="0" borderId="0" xfId="0" applyAlignment="1">
      <alignment horizontal="center"/>
    </xf>
    <xf numFmtId="6" fontId="0" fillId="0" borderId="0" xfId="0" applyNumberFormat="1" applyFill="1" applyAlignment="1">
      <alignment horizontal="left" vertical="top" wrapText="1"/>
    </xf>
    <xf numFmtId="6" fontId="0" fillId="4" borderId="0" xfId="0" applyNumberFormat="1" applyFill="1" applyAlignment="1">
      <alignment horizontal="left" vertical="top" wrapText="1"/>
    </xf>
    <xf numFmtId="0" fontId="0" fillId="0" borderId="0" xfId="0" applyAlignment="1">
      <alignment horizontal="left" vertical="center" wrapText="1"/>
    </xf>
    <xf numFmtId="0" fontId="50" fillId="0" borderId="0" xfId="0" applyFont="1" applyAlignment="1">
      <alignment horizontal="left" vertical="top" wrapText="1"/>
    </xf>
    <xf numFmtId="0" fontId="50" fillId="0" borderId="0" xfId="0" applyFont="1" applyFill="1" applyAlignment="1">
      <alignment horizontal="left" vertical="top" wrapText="1"/>
    </xf>
    <xf numFmtId="0" fontId="50" fillId="0" borderId="0" xfId="0" applyFont="1" applyFill="1" applyAlignment="1">
      <alignment vertical="top" wrapText="1"/>
    </xf>
    <xf numFmtId="0" fontId="50" fillId="0" borderId="0" xfId="0" applyFont="1"/>
    <xf numFmtId="0" fontId="50" fillId="0" borderId="0" xfId="0" applyFont="1" applyAlignment="1">
      <alignment horizontal="left" wrapText="1"/>
    </xf>
    <xf numFmtId="0" fontId="50" fillId="0" borderId="0" xfId="0" applyFont="1" applyAlignment="1">
      <alignment vertical="top" wrapText="1"/>
    </xf>
    <xf numFmtId="0" fontId="51" fillId="0" borderId="8" xfId="0" applyFont="1" applyBorder="1" applyAlignment="1">
      <alignment horizontal="left" vertical="top" wrapText="1"/>
    </xf>
    <xf numFmtId="0" fontId="50" fillId="0" borderId="29" xfId="0" applyFont="1" applyBorder="1" applyAlignment="1">
      <alignment vertical="top" wrapText="1"/>
    </xf>
    <xf numFmtId="0" fontId="50" fillId="0" borderId="8" xfId="0" applyFont="1" applyBorder="1" applyAlignment="1">
      <alignment vertical="top" wrapText="1"/>
    </xf>
    <xf numFmtId="0" fontId="50" fillId="0" borderId="28" xfId="0" applyFont="1" applyBorder="1" applyAlignment="1">
      <alignment horizontal="left" vertical="top" wrapText="1"/>
    </xf>
    <xf numFmtId="0" fontId="50" fillId="0" borderId="8" xfId="0" applyFont="1" applyBorder="1" applyAlignment="1">
      <alignment horizontal="left" vertical="top" wrapText="1"/>
    </xf>
    <xf numFmtId="0" fontId="50" fillId="0" borderId="29" xfId="0" applyFont="1" applyBorder="1" applyAlignment="1">
      <alignment horizontal="left" vertical="top" wrapText="1"/>
    </xf>
    <xf numFmtId="0" fontId="50" fillId="0" borderId="29" xfId="0" applyFont="1" applyFill="1" applyBorder="1" applyAlignment="1">
      <alignment vertical="top" wrapText="1"/>
    </xf>
    <xf numFmtId="0" fontId="50" fillId="0" borderId="8" xfId="0" applyFont="1" applyFill="1" applyBorder="1" applyAlignment="1">
      <alignment vertical="top" wrapText="1"/>
    </xf>
    <xf numFmtId="0" fontId="50" fillId="0" borderId="0" xfId="0" applyFont="1" applyBorder="1" applyAlignment="1">
      <alignment horizontal="left" vertical="top" wrapText="1"/>
    </xf>
    <xf numFmtId="0" fontId="50" fillId="0" borderId="28" xfId="0" applyFont="1" applyBorder="1" applyAlignment="1">
      <alignment wrapText="1"/>
    </xf>
    <xf numFmtId="0" fontId="51" fillId="0" borderId="8" xfId="0" applyFont="1" applyBorder="1" applyAlignment="1">
      <alignment vertical="top" wrapText="1"/>
    </xf>
    <xf numFmtId="0" fontId="50" fillId="0" borderId="0" xfId="0" applyFont="1" applyBorder="1" applyAlignment="1">
      <alignment vertical="top" wrapText="1"/>
    </xf>
    <xf numFmtId="0" fontId="1" fillId="0" borderId="0" xfId="0" applyFont="1" applyAlignment="1">
      <alignment horizontal="left" vertical="top"/>
    </xf>
    <xf numFmtId="0" fontId="0" fillId="0" borderId="0" xfId="0" applyAlignment="1">
      <alignment horizontal="left" vertical="center" wrapText="1"/>
    </xf>
    <xf numFmtId="0" fontId="10" fillId="0" borderId="0" xfId="0" applyFont="1" applyFill="1" applyAlignment="1">
      <alignment horizontal="left" vertical="center" wrapText="1"/>
    </xf>
    <xf numFmtId="0" fontId="0" fillId="0" borderId="0" xfId="0" applyAlignment="1">
      <alignment horizontal="left" vertical="top"/>
    </xf>
    <xf numFmtId="0" fontId="1" fillId="49" borderId="0" xfId="0" applyFont="1" applyFill="1" applyAlignment="1">
      <alignment horizontal="left"/>
    </xf>
    <xf numFmtId="0" fontId="0" fillId="49" borderId="0" xfId="0" applyNumberFormat="1" applyFill="1" applyAlignment="1">
      <alignment horizontal="left" vertical="top" wrapText="1"/>
    </xf>
    <xf numFmtId="0" fontId="0" fillId="3" borderId="0" xfId="0" applyFill="1" applyAlignment="1">
      <alignment horizontal="left"/>
    </xf>
    <xf numFmtId="0" fontId="0" fillId="0" borderId="0" xfId="0" applyFill="1" applyAlignment="1">
      <alignment horizontal="left"/>
    </xf>
    <xf numFmtId="0" fontId="0" fillId="0" borderId="0" xfId="0" applyFont="1" applyFill="1" applyAlignment="1">
      <alignment horizontal="left"/>
    </xf>
    <xf numFmtId="0" fontId="1" fillId="0" borderId="0" xfId="0" applyFont="1" applyFill="1" applyAlignment="1">
      <alignment horizontal="left"/>
    </xf>
    <xf numFmtId="0" fontId="0" fillId="0" borderId="0" xfId="0" applyNumberFormat="1" applyFill="1" applyAlignment="1">
      <alignment horizontal="left" vertical="top"/>
    </xf>
    <xf numFmtId="0" fontId="0" fillId="3" borderId="0" xfId="0" applyFill="1" applyAlignment="1">
      <alignment horizontal="left" wrapText="1"/>
    </xf>
    <xf numFmtId="0" fontId="0" fillId="0" borderId="0" xfId="0" applyNumberFormat="1" applyAlignment="1">
      <alignment wrapText="1"/>
    </xf>
    <xf numFmtId="0" fontId="0" fillId="0" borderId="0" xfId="0" applyNumberFormat="1" applyFont="1" applyAlignment="1">
      <alignment horizontal="left" wrapText="1"/>
    </xf>
    <xf numFmtId="0" fontId="0" fillId="0" borderId="0" xfId="0" applyNumberFormat="1" applyAlignment="1">
      <alignment horizontal="left"/>
    </xf>
    <xf numFmtId="0" fontId="0" fillId="0" borderId="0" xfId="0" applyNumberFormat="1" applyAlignment="1"/>
    <xf numFmtId="0" fontId="0" fillId="0" borderId="0" xfId="0" applyNumberFormat="1" applyFont="1" applyFill="1" applyAlignment="1">
      <alignment horizontal="left" vertical="top" wrapText="1"/>
    </xf>
    <xf numFmtId="0" fontId="1" fillId="0" borderId="0" xfId="0" applyNumberFormat="1" applyFont="1" applyAlignment="1">
      <alignment horizontal="left"/>
    </xf>
    <xf numFmtId="0" fontId="0" fillId="0" borderId="0" xfId="0" applyNumberFormat="1"/>
    <xf numFmtId="0" fontId="0" fillId="3" borderId="0" xfId="0" applyNumberFormat="1" applyFont="1" applyFill="1" applyAlignment="1">
      <alignment horizontal="left" vertical="top" wrapText="1"/>
    </xf>
    <xf numFmtId="0" fontId="1" fillId="3" borderId="0" xfId="0" applyNumberFormat="1" applyFont="1" applyFill="1" applyAlignment="1">
      <alignment horizontal="left"/>
    </xf>
    <xf numFmtId="0" fontId="0" fillId="3" borderId="0" xfId="0" applyNumberFormat="1" applyFill="1" applyAlignment="1">
      <alignment horizontal="left"/>
    </xf>
    <xf numFmtId="0" fontId="0" fillId="0" borderId="0" xfId="0" applyNumberFormat="1" applyFill="1"/>
    <xf numFmtId="0" fontId="0" fillId="0" borderId="0" xfId="0" applyNumberFormat="1" applyFill="1" applyAlignment="1">
      <alignment horizontal="left"/>
    </xf>
    <xf numFmtId="0" fontId="0" fillId="0" borderId="0" xfId="0" applyNumberFormat="1" applyFont="1" applyAlignment="1">
      <alignment horizontal="left" vertical="top" wrapText="1"/>
    </xf>
    <xf numFmtId="0" fontId="0" fillId="0" borderId="0" xfId="0" applyNumberFormat="1" applyFont="1" applyAlignment="1">
      <alignment horizontal="left"/>
    </xf>
    <xf numFmtId="0" fontId="0" fillId="0" borderId="0" xfId="0" applyNumberFormat="1" applyFont="1"/>
    <xf numFmtId="0" fontId="0" fillId="0" borderId="0" xfId="0" applyNumberFormat="1" applyAlignment="1">
      <alignment horizontal="left" vertical="center" wrapText="1"/>
    </xf>
    <xf numFmtId="0" fontId="0" fillId="0" borderId="0" xfId="0" applyNumberFormat="1" applyAlignment="1">
      <alignment vertical="center" wrapText="1"/>
    </xf>
    <xf numFmtId="0" fontId="0" fillId="0" borderId="0" xfId="0" applyNumberFormat="1" applyFont="1" applyFill="1" applyAlignment="1">
      <alignment horizontal="left"/>
    </xf>
    <xf numFmtId="0" fontId="1" fillId="0" borderId="0" xfId="0" applyNumberFormat="1" applyFont="1" applyFill="1" applyAlignment="1">
      <alignment horizontal="left"/>
    </xf>
    <xf numFmtId="0" fontId="0" fillId="3" borderId="0" xfId="0" applyNumberFormat="1" applyFill="1" applyAlignment="1">
      <alignment horizontal="left" wrapText="1"/>
    </xf>
    <xf numFmtId="0" fontId="0" fillId="0" borderId="0" xfId="0" applyFill="1" applyAlignment="1">
      <alignment horizontal="left" wrapText="1"/>
    </xf>
    <xf numFmtId="0" fontId="0" fillId="0" borderId="0" xfId="0" applyFont="1" applyFill="1"/>
    <xf numFmtId="11" fontId="2" fillId="0" borderId="0" xfId="0" applyNumberFormat="1" applyFont="1" applyAlignment="1">
      <alignment horizontal="left" vertical="top"/>
    </xf>
    <xf numFmtId="11" fontId="1" fillId="3" borderId="0" xfId="0" applyNumberFormat="1" applyFont="1" applyFill="1" applyAlignment="1">
      <alignment horizontal="left" vertical="top"/>
    </xf>
    <xf numFmtId="6" fontId="0" fillId="4" borderId="0" xfId="0" applyNumberFormat="1" applyFill="1" applyAlignment="1">
      <alignment horizontal="left" vertical="top" wrapText="1"/>
    </xf>
    <xf numFmtId="0" fontId="1" fillId="3" borderId="0" xfId="0" applyFont="1" applyFill="1" applyAlignment="1">
      <alignment horizontal="left" vertical="top"/>
    </xf>
    <xf numFmtId="2" fontId="0" fillId="0" borderId="0" xfId="0" applyNumberFormat="1" applyFill="1" applyAlignment="1">
      <alignment horizontal="left" vertical="top" wrapText="1"/>
    </xf>
    <xf numFmtId="2" fontId="0" fillId="4" borderId="0" xfId="0" applyNumberFormat="1" applyFill="1" applyAlignment="1">
      <alignment horizontal="left" vertical="top" wrapText="1"/>
    </xf>
    <xf numFmtId="2" fontId="0" fillId="0" borderId="0" xfId="0" applyNumberFormat="1" applyAlignment="1">
      <alignment horizontal="left" vertical="top"/>
    </xf>
    <xf numFmtId="2" fontId="0" fillId="4" borderId="0" xfId="0" applyNumberFormat="1" applyFill="1" applyAlignment="1">
      <alignment horizontal="left" vertical="top"/>
    </xf>
    <xf numFmtId="0" fontId="52" fillId="0" borderId="0" xfId="0" applyFont="1"/>
    <xf numFmtId="2" fontId="0" fillId="3" borderId="0" xfId="0" applyNumberFormat="1" applyFill="1" applyAlignment="1">
      <alignment horizontal="left" vertical="top" wrapText="1"/>
    </xf>
    <xf numFmtId="165" fontId="0" fillId="0" borderId="0" xfId="0" applyNumberFormat="1" applyAlignment="1">
      <alignment horizontal="left" vertical="top"/>
    </xf>
    <xf numFmtId="0" fontId="0" fillId="4" borderId="0" xfId="0" applyFill="1" applyAlignment="1">
      <alignment vertical="center" wrapText="1"/>
    </xf>
    <xf numFmtId="2" fontId="0" fillId="0" borderId="0" xfId="0" applyNumberFormat="1" applyFont="1" applyFill="1" applyAlignment="1">
      <alignment horizontal="left" vertical="top" wrapText="1"/>
    </xf>
    <xf numFmtId="0" fontId="0" fillId="4" borderId="0" xfId="0" applyFill="1"/>
    <xf numFmtId="2" fontId="0" fillId="4" borderId="0" xfId="0" applyNumberFormat="1" applyFont="1" applyFill="1" applyAlignment="1">
      <alignment horizontal="left" vertical="top" wrapText="1"/>
    </xf>
    <xf numFmtId="0" fontId="7" fillId="0" borderId="0" xfId="0" applyFont="1"/>
    <xf numFmtId="2" fontId="0" fillId="3" borderId="0" xfId="0" applyNumberFormat="1" applyFill="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top"/>
    </xf>
    <xf numFmtId="0" fontId="0" fillId="50" borderId="0" xfId="0" applyNumberFormat="1" applyFill="1" applyAlignment="1">
      <alignment horizontal="left" vertical="top" wrapText="1"/>
    </xf>
    <xf numFmtId="11" fontId="0" fillId="50" borderId="0" xfId="0" applyNumberFormat="1" applyFill="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horizontal="left" vertical="top"/>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center" wrapText="1"/>
    </xf>
    <xf numFmtId="0" fontId="0" fillId="4" borderId="0" xfId="0" applyNumberFormat="1" applyFill="1" applyAlignment="1">
      <alignment horizontal="left"/>
    </xf>
    <xf numFmtId="0" fontId="0" fillId="0" borderId="0" xfId="0" applyAlignment="1"/>
    <xf numFmtId="0" fontId="0" fillId="0" borderId="0" xfId="0" applyAlignment="1">
      <alignment horizontal="left" vertical="top"/>
    </xf>
    <xf numFmtId="11" fontId="0" fillId="0" borderId="0" xfId="0" applyNumberFormat="1" applyAlignment="1">
      <alignment horizontal="left"/>
    </xf>
    <xf numFmtId="0" fontId="0" fillId="0" borderId="0" xfId="0" applyFont="1" applyBorder="1" applyAlignment="1">
      <alignment horizontal="left"/>
    </xf>
    <xf numFmtId="0" fontId="7" fillId="3" borderId="0" xfId="0" applyFont="1" applyFill="1" applyAlignment="1">
      <alignment horizontal="left" vertical="top" wrapText="1"/>
    </xf>
    <xf numFmtId="0" fontId="1" fillId="51" borderId="0" xfId="0" applyFont="1" applyFill="1"/>
    <xf numFmtId="0" fontId="0" fillId="51" borderId="0" xfId="0" applyFont="1" applyFill="1" applyAlignment="1">
      <alignment horizontal="left" vertical="top" wrapText="1"/>
    </xf>
    <xf numFmtId="0" fontId="0" fillId="51" borderId="0" xfId="0" applyFill="1"/>
    <xf numFmtId="0" fontId="0" fillId="51" borderId="0" xfId="0" applyFill="1" applyAlignment="1">
      <alignment horizontal="left"/>
    </xf>
    <xf numFmtId="0" fontId="53" fillId="0" borderId="0" xfId="0" applyFont="1" applyAlignment="1">
      <alignment horizontal="left"/>
    </xf>
    <xf numFmtId="0" fontId="53" fillId="0" borderId="0" xfId="0" applyFont="1" applyAlignment="1"/>
    <xf numFmtId="0" fontId="53" fillId="0" borderId="0" xfId="0" applyFont="1" applyAlignment="1">
      <alignment horizontal="left" vertical="top"/>
    </xf>
    <xf numFmtId="0" fontId="53" fillId="0" borderId="0" xfId="0" applyFont="1"/>
    <xf numFmtId="0" fontId="53" fillId="0" borderId="0" xfId="0" applyNumberFormat="1" applyFont="1" applyFill="1" applyAlignment="1">
      <alignment horizontal="left" vertical="top" wrapText="1"/>
    </xf>
    <xf numFmtId="0" fontId="53" fillId="0" borderId="0" xfId="0" applyFont="1" applyFill="1"/>
    <xf numFmtId="0" fontId="53" fillId="4" borderId="0" xfId="0" applyNumberFormat="1" applyFont="1" applyFill="1" applyAlignment="1">
      <alignment horizontal="left" vertical="top" wrapText="1"/>
    </xf>
    <xf numFmtId="2" fontId="53" fillId="0" borderId="0" xfId="0" applyNumberFormat="1" applyFont="1" applyFill="1" applyAlignment="1">
      <alignment horizontal="left" vertical="top" wrapText="1"/>
    </xf>
    <xf numFmtId="2" fontId="53" fillId="0" borderId="0" xfId="0" applyNumberFormat="1" applyFont="1" applyAlignment="1">
      <alignment horizontal="left" vertical="top"/>
    </xf>
    <xf numFmtId="0" fontId="53" fillId="4" borderId="0" xfId="0" applyNumberFormat="1" applyFont="1" applyFill="1" applyAlignment="1">
      <alignment horizontal="left"/>
    </xf>
    <xf numFmtId="0" fontId="53" fillId="4" borderId="0" xfId="0" applyNumberFormat="1" applyFont="1" applyFill="1" applyAlignment="1">
      <alignment horizontal="left" vertical="top"/>
    </xf>
    <xf numFmtId="0" fontId="53" fillId="0" borderId="0" xfId="0" applyNumberFormat="1" applyFont="1"/>
    <xf numFmtId="0" fontId="0" fillId="0" borderId="0" xfId="0" applyAlignment="1">
      <alignment horizontal="left" vertical="center" wrapText="1"/>
    </xf>
    <xf numFmtId="0" fontId="0" fillId="0" borderId="0" xfId="0" applyAlignment="1"/>
    <xf numFmtId="0" fontId="0" fillId="0" borderId="0" xfId="0" applyAlignment="1">
      <alignment horizontal="left" vertical="top"/>
    </xf>
    <xf numFmtId="0" fontId="1" fillId="0" borderId="0" xfId="0" applyFont="1" applyFill="1"/>
    <xf numFmtId="0" fontId="0" fillId="0" borderId="0" xfId="0" applyFont="1" applyAlignment="1">
      <alignment vertical="center" wrapText="1"/>
    </xf>
    <xf numFmtId="0" fontId="0" fillId="3" borderId="33" xfId="0" applyFont="1" applyFill="1" applyBorder="1" applyAlignment="1">
      <alignment horizontal="left" vertical="top" wrapText="1"/>
    </xf>
    <xf numFmtId="0" fontId="0" fillId="3" borderId="33" xfId="0" applyFont="1" applyFill="1" applyBorder="1" applyAlignment="1">
      <alignment horizontal="left"/>
    </xf>
    <xf numFmtId="0" fontId="0" fillId="3" borderId="33" xfId="0" applyFill="1" applyBorder="1" applyAlignment="1">
      <alignment horizontal="left" vertical="top"/>
    </xf>
    <xf numFmtId="0" fontId="0" fillId="3" borderId="33" xfId="0" applyFill="1" applyBorder="1"/>
    <xf numFmtId="0" fontId="0" fillId="3" borderId="33" xfId="0" applyFont="1" applyFill="1" applyBorder="1"/>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xf numFmtId="6" fontId="1" fillId="4" borderId="0" xfId="0" applyNumberFormat="1" applyFont="1" applyFill="1" applyAlignment="1">
      <alignment horizontal="left" vertical="top" wrapText="1"/>
    </xf>
    <xf numFmtId="2" fontId="1" fillId="4" borderId="0" xfId="0" applyNumberFormat="1" applyFont="1" applyFill="1" applyAlignment="1">
      <alignment horizontal="left" vertical="top" wrapText="1"/>
    </xf>
    <xf numFmtId="0" fontId="52" fillId="3" borderId="0" xfId="0" applyFont="1" applyFill="1" applyAlignment="1">
      <alignment horizontal="left" vertical="top" wrapText="1"/>
    </xf>
    <xf numFmtId="2" fontId="1" fillId="3" borderId="0" xfId="0" applyNumberFormat="1" applyFont="1" applyFill="1" applyAlignment="1">
      <alignment horizontal="left" vertical="top" wrapText="1"/>
    </xf>
    <xf numFmtId="0" fontId="1" fillId="0" borderId="0" xfId="0" applyNumberFormat="1" applyFont="1" applyFill="1" applyAlignment="1">
      <alignment horizontal="left" vertical="top" wrapText="1"/>
    </xf>
    <xf numFmtId="0" fontId="1" fillId="4" borderId="0" xfId="0" applyFont="1" applyFill="1" applyAlignment="1">
      <alignment horizontal="left" vertical="top" wrapText="1"/>
    </xf>
    <xf numFmtId="2" fontId="1" fillId="0" borderId="0" xfId="0" applyNumberFormat="1" applyFont="1" applyFill="1" applyAlignment="1">
      <alignment horizontal="left" vertical="top" wrapText="1"/>
    </xf>
    <xf numFmtId="0" fontId="52" fillId="0" borderId="0" xfId="0" applyFont="1" applyAlignment="1">
      <alignment horizontal="left" vertical="top" wrapText="1"/>
    </xf>
    <xf numFmtId="2" fontId="1" fillId="0" borderId="0" xfId="0" applyNumberFormat="1" applyFont="1" applyAlignment="1">
      <alignment horizontal="left" vertical="top"/>
    </xf>
    <xf numFmtId="2" fontId="1" fillId="0" borderId="0" xfId="0" applyNumberFormat="1" applyFont="1" applyFill="1" applyAlignment="1">
      <alignment horizontal="left" vertical="top"/>
    </xf>
    <xf numFmtId="0" fontId="1" fillId="0" borderId="0" xfId="0" applyNumberFormat="1" applyFont="1" applyAlignment="1">
      <alignment horizontal="left" vertical="top"/>
    </xf>
    <xf numFmtId="0" fontId="1" fillId="0" borderId="0" xfId="0" applyNumberFormat="1" applyFont="1" applyFill="1" applyAlignment="1">
      <alignment horizontal="left" vertical="top"/>
    </xf>
    <xf numFmtId="0" fontId="1" fillId="0" borderId="0" xfId="0" applyNumberFormat="1" applyFont="1" applyFill="1"/>
    <xf numFmtId="0" fontId="52" fillId="0" borderId="0" xfId="0" applyFont="1" applyFill="1" applyAlignment="1">
      <alignment horizontal="left" vertical="top" wrapText="1"/>
    </xf>
    <xf numFmtId="2" fontId="1" fillId="4" borderId="0" xfId="0" applyNumberFormat="1" applyFont="1" applyFill="1" applyAlignment="1">
      <alignment horizontal="left" vertical="top"/>
    </xf>
    <xf numFmtId="2" fontId="1" fillId="3" borderId="0" xfId="0" applyNumberFormat="1" applyFont="1" applyFill="1" applyAlignment="1">
      <alignment horizontal="left" vertical="top"/>
    </xf>
    <xf numFmtId="0" fontId="1" fillId="0" borderId="0" xfId="0" applyNumberFormat="1" applyFont="1"/>
    <xf numFmtId="165" fontId="1" fillId="0" borderId="0" xfId="0" applyNumberFormat="1" applyFont="1" applyAlignment="1">
      <alignment horizontal="left" vertical="top"/>
    </xf>
    <xf numFmtId="0" fontId="1" fillId="4" borderId="0" xfId="0" applyFont="1" applyFill="1" applyAlignment="1">
      <alignment vertical="center" wrapText="1"/>
    </xf>
    <xf numFmtId="0" fontId="1" fillId="4" borderId="0" xfId="0" applyFont="1" applyFill="1"/>
    <xf numFmtId="2" fontId="1" fillId="0" borderId="28" xfId="0" applyNumberFormat="1" applyFont="1" applyFill="1" applyBorder="1" applyAlignment="1">
      <alignment horizontal="left" vertical="top"/>
    </xf>
    <xf numFmtId="0" fontId="1" fillId="3" borderId="0" xfId="0" applyNumberFormat="1" applyFont="1" applyFill="1" applyAlignment="1">
      <alignment horizontal="left" vertical="top" wrapText="1"/>
    </xf>
    <xf numFmtId="0" fontId="1" fillId="50" borderId="0" xfId="0" applyNumberFormat="1" applyFont="1" applyFill="1" applyAlignment="1">
      <alignment horizontal="left" vertical="top" wrapText="1"/>
    </xf>
    <xf numFmtId="0" fontId="1" fillId="51" borderId="0" xfId="0" applyFont="1" applyFill="1" applyAlignment="1">
      <alignment horizontal="left" vertical="top" wrapText="1"/>
    </xf>
    <xf numFmtId="0" fontId="1" fillId="51" borderId="0" xfId="0" applyFont="1" applyFill="1" applyAlignment="1">
      <alignment horizontal="left"/>
    </xf>
    <xf numFmtId="0" fontId="1" fillId="0" borderId="0" xfId="0" applyFont="1" applyAlignment="1">
      <alignment horizontal="left" vertical="top"/>
    </xf>
    <xf numFmtId="0" fontId="0" fillId="0" borderId="0" xfId="0" applyAlignment="1">
      <alignment horizontal="left" vertical="top"/>
    </xf>
    <xf numFmtId="0" fontId="25" fillId="0" borderId="0"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wrapText="1"/>
    </xf>
    <xf numFmtId="0" fontId="54" fillId="0" borderId="29" xfId="0" applyFont="1" applyFill="1" applyBorder="1" applyAlignment="1">
      <alignment horizontal="left" vertical="top" wrapText="1"/>
    </xf>
    <xf numFmtId="0" fontId="54" fillId="0" borderId="8" xfId="0" applyFont="1" applyFill="1" applyBorder="1" applyAlignment="1">
      <alignment horizontal="left" vertical="top" wrapText="1"/>
    </xf>
    <xf numFmtId="0" fontId="55" fillId="0" borderId="0" xfId="0" applyFont="1" applyFill="1" applyBorder="1" applyAlignment="1">
      <alignment horizontal="left" vertical="top" wrapText="1"/>
    </xf>
    <xf numFmtId="0" fontId="55" fillId="0" borderId="28" xfId="0" applyFont="1" applyFill="1" applyBorder="1" applyAlignment="1">
      <alignment horizontal="left" vertical="top" wrapText="1"/>
    </xf>
    <xf numFmtId="0" fontId="1" fillId="0" borderId="0" xfId="0" applyFont="1" applyBorder="1" applyAlignment="1">
      <alignment horizontal="left" vertical="top"/>
    </xf>
    <xf numFmtId="0" fontId="1" fillId="0" borderId="6" xfId="0" applyFont="1" applyBorder="1" applyAlignment="1">
      <alignment horizontal="left" vertical="top"/>
    </xf>
    <xf numFmtId="0" fontId="55" fillId="0" borderId="0" xfId="0" applyFont="1" applyAlignment="1">
      <alignment horizontal="left" vertical="top" wrapText="1"/>
    </xf>
    <xf numFmtId="0" fontId="1" fillId="0" borderId="0" xfId="0" applyFont="1" applyFill="1" applyAlignment="1">
      <alignment horizontal="left" wrapText="1"/>
    </xf>
    <xf numFmtId="0" fontId="1" fillId="0" borderId="0" xfId="0" applyFont="1" applyFill="1" applyAlignment="1"/>
    <xf numFmtId="0" fontId="2" fillId="0" borderId="0" xfId="0" applyFont="1" applyFill="1" applyAlignment="1">
      <alignment horizontal="left" vertical="top" wrapText="1"/>
    </xf>
    <xf numFmtId="0" fontId="2" fillId="0" borderId="0" xfId="0" applyNumberFormat="1" applyFont="1" applyFill="1" applyAlignment="1">
      <alignment horizontal="left" vertical="top" wrapText="1"/>
    </xf>
    <xf numFmtId="0" fontId="2" fillId="50" borderId="0" xfId="0" applyNumberFormat="1" applyFont="1" applyFill="1" applyAlignment="1">
      <alignment horizontal="left" vertical="top" wrapText="1"/>
    </xf>
    <xf numFmtId="0" fontId="2" fillId="0" borderId="0" xfId="0" applyFont="1" applyFill="1"/>
    <xf numFmtId="0" fontId="57" fillId="0" borderId="0" xfId="0" applyFont="1" applyFill="1" applyAlignment="1">
      <alignment horizontal="left" vertical="top" wrapText="1"/>
    </xf>
    <xf numFmtId="0" fontId="57" fillId="0" borderId="0" xfId="0" applyFont="1"/>
    <xf numFmtId="0" fontId="57" fillId="0" borderId="0" xfId="0" applyFont="1" applyFill="1"/>
    <xf numFmtId="0" fontId="57" fillId="0" borderId="0" xfId="0" applyFont="1" applyAlignment="1">
      <alignment horizontal="left" vertical="top" wrapText="1"/>
    </xf>
    <xf numFmtId="0" fontId="1" fillId="52" borderId="1" xfId="0" applyFont="1" applyFill="1" applyBorder="1" applyAlignment="1">
      <alignment wrapText="1"/>
    </xf>
    <xf numFmtId="0" fontId="0" fillId="0" borderId="0" xfId="0" applyAlignment="1">
      <alignment horizontal="left" vertical="top"/>
    </xf>
    <xf numFmtId="2" fontId="1" fillId="53" borderId="0" xfId="0" applyNumberFormat="1" applyFont="1" applyFill="1" applyAlignment="1">
      <alignment horizontal="left" vertical="top"/>
    </xf>
    <xf numFmtId="0" fontId="0" fillId="3" borderId="37" xfId="0" applyFill="1" applyBorder="1"/>
    <xf numFmtId="11" fontId="1" fillId="0" borderId="0" xfId="0" applyNumberFormat="1" applyFont="1" applyFill="1" applyAlignment="1">
      <alignment horizontal="left" vertical="top" wrapText="1"/>
    </xf>
    <xf numFmtId="11" fontId="1" fillId="0" borderId="0" xfId="0" applyNumberFormat="1" applyFont="1" applyFill="1" applyAlignment="1">
      <alignment horizontal="left" vertical="top"/>
    </xf>
    <xf numFmtId="0" fontId="0" fillId="54" borderId="6" xfId="0" applyFont="1" applyFill="1" applyBorder="1" applyAlignment="1">
      <alignment horizontal="left" wrapText="1"/>
    </xf>
    <xf numFmtId="0" fontId="1" fillId="0" borderId="1" xfId="0" applyFont="1" applyBorder="1" applyAlignment="1">
      <alignment horizontal="left" vertical="top" wrapText="1"/>
    </xf>
    <xf numFmtId="0" fontId="1" fillId="0" borderId="34" xfId="0" applyFont="1" applyBorder="1" applyAlignment="1">
      <alignment horizontal="left" vertical="top" wrapText="1"/>
    </xf>
    <xf numFmtId="0" fontId="1" fillId="0" borderId="35" xfId="0" applyFont="1" applyBorder="1" applyAlignment="1">
      <alignment horizontal="left" vertical="top" wrapText="1"/>
    </xf>
    <xf numFmtId="0" fontId="1" fillId="0" borderId="36" xfId="0" applyFont="1" applyBorder="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Fill="1" applyAlignment="1">
      <alignment horizontal="left" vertical="top" wrapText="1"/>
    </xf>
    <xf numFmtId="0" fontId="53" fillId="4" borderId="0" xfId="0" applyNumberFormat="1" applyFont="1" applyFill="1" applyAlignment="1">
      <alignment horizontal="left"/>
    </xf>
    <xf numFmtId="0" fontId="0" fillId="0" borderId="0" xfId="0" applyAlignment="1">
      <alignment vertical="center" wrapText="1"/>
    </xf>
    <xf numFmtId="0" fontId="0" fillId="0" borderId="0" xfId="0" applyAlignment="1">
      <alignment horizontal="left" vertical="center" wrapText="1"/>
    </xf>
    <xf numFmtId="0" fontId="0" fillId="0" borderId="0" xfId="0" applyAlignment="1"/>
    <xf numFmtId="0" fontId="1" fillId="0" borderId="0" xfId="0" applyFont="1" applyAlignment="1">
      <alignment horizontal="left" vertical="center" wrapText="1"/>
    </xf>
    <xf numFmtId="0" fontId="1" fillId="0" borderId="0" xfId="0" applyFont="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xf numFmtId="0" fontId="0" fillId="4" borderId="0" xfId="0" applyNumberFormat="1" applyFill="1" applyAlignment="1">
      <alignment horizontal="center" vertical="center" wrapText="1"/>
    </xf>
    <xf numFmtId="0" fontId="0" fillId="0" borderId="0" xfId="0" applyNumberFormat="1" applyAlignment="1">
      <alignment horizontal="center" wrapText="1"/>
    </xf>
    <xf numFmtId="0" fontId="0" fillId="4" borderId="0" xfId="0" applyFill="1" applyAlignment="1">
      <alignment horizontal="left"/>
    </xf>
    <xf numFmtId="0" fontId="0" fillId="0" borderId="0" xfId="0" applyAlignment="1">
      <alignment horizontal="left" vertical="top"/>
    </xf>
    <xf numFmtId="0" fontId="0" fillId="0" borderId="0" xfId="0" applyAlignment="1">
      <alignment horizontal="center" wrapText="1"/>
    </xf>
    <xf numFmtId="0" fontId="0" fillId="4" borderId="0" xfId="0" applyNumberFormat="1" applyFill="1" applyAlignment="1">
      <alignment horizontal="left"/>
    </xf>
    <xf numFmtId="0" fontId="0" fillId="0" borderId="0" xfId="0" applyFont="1" applyAlignment="1">
      <alignment horizontal="center" vertical="center" wrapText="1"/>
    </xf>
    <xf numFmtId="0" fontId="0" fillId="3" borderId="38" xfId="0" applyFill="1" applyBorder="1" applyAlignment="1">
      <alignment horizontal="center" wrapText="1"/>
    </xf>
    <xf numFmtId="0" fontId="0" fillId="3" borderId="0" xfId="0" applyFill="1" applyAlignment="1">
      <alignment horizontal="center" wrapText="1"/>
    </xf>
    <xf numFmtId="0" fontId="25" fillId="0" borderId="0" xfId="0" applyFont="1" applyAlignment="1">
      <alignment horizontal="left" vertical="top" wrapText="1"/>
    </xf>
    <xf numFmtId="0" fontId="47" fillId="0" borderId="8" xfId="0" applyFont="1" applyBorder="1" applyAlignment="1">
      <alignment horizontal="left" vertical="top" wrapText="1"/>
    </xf>
    <xf numFmtId="0" fontId="25" fillId="0" borderId="29" xfId="0" applyFont="1" applyBorder="1" applyAlignment="1">
      <alignment horizontal="left" vertical="top" wrapText="1"/>
    </xf>
    <xf numFmtId="0" fontId="25" fillId="0" borderId="0" xfId="0" applyFont="1" applyBorder="1" applyAlignment="1">
      <alignment horizontal="left" vertical="top" wrapText="1"/>
    </xf>
    <xf numFmtId="0" fontId="25" fillId="0" borderId="28" xfId="0" applyFont="1" applyBorder="1" applyAlignment="1">
      <alignment horizontal="left" vertical="top" wrapText="1"/>
    </xf>
    <xf numFmtId="0" fontId="48" fillId="0" borderId="8" xfId="0" applyFont="1" applyFill="1" applyBorder="1" applyAlignment="1">
      <alignment horizontal="left" vertical="top" wrapText="1"/>
    </xf>
    <xf numFmtId="0" fontId="25" fillId="0" borderId="8" xfId="0" applyFont="1" applyFill="1" applyBorder="1" applyAlignment="1">
      <alignment horizontal="left" vertical="top" wrapText="1"/>
    </xf>
    <xf numFmtId="0" fontId="48" fillId="0" borderId="8" xfId="0" applyFont="1" applyBorder="1" applyAlignment="1">
      <alignment horizontal="left" vertical="top" wrapText="1"/>
    </xf>
    <xf numFmtId="0" fontId="25" fillId="0" borderId="8" xfId="0" applyFont="1" applyBorder="1" applyAlignment="1">
      <alignment horizontal="left" vertical="top" wrapText="1"/>
    </xf>
    <xf numFmtId="0" fontId="48" fillId="0" borderId="28" xfId="0" applyFont="1" applyFill="1" applyBorder="1" applyAlignment="1">
      <alignment horizontal="left" vertical="top" wrapText="1"/>
    </xf>
    <xf numFmtId="0" fontId="25" fillId="0" borderId="28" xfId="0" applyFont="1" applyFill="1" applyBorder="1" applyAlignment="1">
      <alignment horizontal="left" vertical="top" wrapText="1"/>
    </xf>
    <xf numFmtId="0" fontId="47" fillId="0" borderId="8" xfId="0" applyFont="1" applyFill="1" applyBorder="1" applyAlignment="1">
      <alignment horizontal="left" vertical="top" wrapText="1"/>
    </xf>
    <xf numFmtId="0" fontId="56" fillId="0" borderId="8" xfId="0" applyFont="1" applyFill="1" applyBorder="1" applyAlignment="1">
      <alignment horizontal="left" vertical="top" wrapText="1"/>
    </xf>
    <xf numFmtId="0" fontId="55" fillId="0" borderId="8" xfId="0" applyFont="1" applyFill="1" applyBorder="1" applyAlignment="1">
      <alignment horizontal="left" vertical="top" wrapText="1"/>
    </xf>
    <xf numFmtId="0" fontId="54" fillId="0" borderId="8" xfId="0" applyFont="1" applyFill="1" applyBorder="1" applyAlignment="1">
      <alignment horizontal="left" vertical="top" wrapText="1"/>
    </xf>
    <xf numFmtId="0" fontId="54" fillId="0" borderId="28" xfId="0" applyFont="1" applyFill="1" applyBorder="1" applyAlignment="1">
      <alignment horizontal="left" vertical="top" wrapText="1"/>
    </xf>
    <xf numFmtId="0" fontId="50" fillId="0" borderId="29" xfId="0" applyFont="1" applyBorder="1" applyAlignment="1">
      <alignment horizontal="left" vertical="top" wrapText="1"/>
    </xf>
    <xf numFmtId="0" fontId="50" fillId="0" borderId="0" xfId="0" applyFont="1" applyAlignment="1">
      <alignment horizontal="left" vertical="top" wrapText="1"/>
    </xf>
    <xf numFmtId="0" fontId="50" fillId="0" borderId="28" xfId="0" applyFont="1" applyBorder="1" applyAlignment="1">
      <alignment horizontal="left" vertical="top" wrapText="1"/>
    </xf>
    <xf numFmtId="0" fontId="51" fillId="0" borderId="8" xfId="0" applyFont="1" applyBorder="1" applyAlignment="1">
      <alignment horizontal="left" vertical="top" wrapText="1"/>
    </xf>
    <xf numFmtId="0" fontId="50" fillId="0" borderId="8" xfId="0" applyFont="1" applyBorder="1" applyAlignment="1">
      <alignment horizontal="left" vertical="top" wrapText="1"/>
    </xf>
    <xf numFmtId="0" fontId="50" fillId="0" borderId="0" xfId="0" applyFont="1" applyBorder="1" applyAlignment="1">
      <alignment horizontal="left" vertical="top" wrapText="1"/>
    </xf>
    <xf numFmtId="6" fontId="0" fillId="0" borderId="0" xfId="0" applyNumberFormat="1" applyFill="1" applyAlignment="1">
      <alignment horizontal="left" vertical="top" wrapText="1"/>
    </xf>
    <xf numFmtId="0" fontId="0" fillId="0" borderId="0" xfId="0" applyFill="1" applyAlignment="1">
      <alignment horizontal="center" vertical="top"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10" fillId="0" borderId="0" xfId="0" applyFont="1" applyAlignment="1">
      <alignment horizontal="left" vertical="center" textRotation="90" wrapText="1"/>
    </xf>
    <xf numFmtId="0" fontId="10" fillId="0" borderId="0" xfId="0" applyFont="1" applyAlignment="1">
      <alignment horizontal="left" vertical="center" wrapText="1"/>
    </xf>
    <xf numFmtId="0" fontId="16" fillId="0" borderId="4" xfId="0" applyFont="1" applyBorder="1" applyAlignment="1">
      <alignment vertical="center" wrapText="1"/>
    </xf>
    <xf numFmtId="0" fontId="16" fillId="0" borderId="5" xfId="0" applyFont="1" applyBorder="1" applyAlignment="1">
      <alignmen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4" fillId="0" borderId="4" xfId="0" applyFont="1" applyBorder="1" applyAlignment="1">
      <alignment vertical="top" wrapText="1"/>
    </xf>
    <xf numFmtId="0" fontId="14" fillId="0" borderId="0" xfId="0" applyFont="1" applyBorder="1" applyAlignment="1">
      <alignment vertical="top" wrapText="1"/>
    </xf>
    <xf numFmtId="0" fontId="14" fillId="0" borderId="5" xfId="0" applyFont="1" applyBorder="1" applyAlignment="1">
      <alignment vertical="top" wrapText="1"/>
    </xf>
    <xf numFmtId="0" fontId="14" fillId="0" borderId="0" xfId="0" applyFont="1" applyAlignment="1">
      <alignment vertical="top" wrapText="1"/>
    </xf>
    <xf numFmtId="0" fontId="14" fillId="0" borderId="4" xfId="0" applyFont="1" applyBorder="1" applyAlignment="1">
      <alignment horizontal="center" vertical="top" wrapText="1"/>
    </xf>
    <xf numFmtId="0" fontId="14" fillId="0" borderId="0" xfId="0" applyFont="1" applyBorder="1" applyAlignment="1">
      <alignment horizontal="center" vertical="top" wrapText="1"/>
    </xf>
    <xf numFmtId="0" fontId="14" fillId="0" borderId="5" xfId="0" applyFont="1" applyBorder="1" applyAlignment="1">
      <alignment horizontal="center" vertical="top" wrapText="1"/>
    </xf>
    <xf numFmtId="0" fontId="14" fillId="0" borderId="4" xfId="0" applyFont="1" applyBorder="1" applyAlignment="1">
      <alignment horizontal="left" vertical="top" wrapText="1"/>
    </xf>
    <xf numFmtId="0" fontId="14" fillId="0" borderId="5" xfId="0" applyFont="1" applyBorder="1" applyAlignment="1">
      <alignment horizontal="left" vertical="top" wrapText="1"/>
    </xf>
    <xf numFmtId="0" fontId="14" fillId="0" borderId="0" xfId="0" applyFont="1" applyAlignment="1">
      <alignment horizontal="left" vertical="top" wrapText="1"/>
    </xf>
    <xf numFmtId="0" fontId="10" fillId="0" borderId="0" xfId="0" applyFont="1" applyFill="1" applyAlignment="1">
      <alignment horizontal="left" vertical="center" wrapText="1"/>
    </xf>
    <xf numFmtId="0" fontId="0" fillId="0" borderId="0" xfId="0" applyNumberFormat="1" applyAlignment="1">
      <alignment horizontal="left" vertical="center" wrapText="1"/>
    </xf>
    <xf numFmtId="0" fontId="0" fillId="0" borderId="0" xfId="0" applyNumberForma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cellXfs>
  <cellStyles count="52">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38"/>
    <cellStyle name="60% - Accent1 3" xfId="46"/>
    <cellStyle name="60% - Accent2 2" xfId="39"/>
    <cellStyle name="60% - Accent2 3" xfId="47"/>
    <cellStyle name="60% - Accent3 2" xfId="40"/>
    <cellStyle name="60% - Accent3 3" xfId="48"/>
    <cellStyle name="60% - Accent4 2" xfId="41"/>
    <cellStyle name="60% - Accent4 3" xfId="49"/>
    <cellStyle name="60% - Accent5 2" xfId="42"/>
    <cellStyle name="60% - Accent5 3" xfId="50"/>
    <cellStyle name="60% - Accent6 2" xfId="44"/>
    <cellStyle name="60% - Accent6 3" xfId="51"/>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0" builtinId="20" customBuiltin="1"/>
    <cellStyle name="Linked Cell" xfId="13" builtinId="24" customBuiltin="1"/>
    <cellStyle name="Neutral 2" xfId="37"/>
    <cellStyle name="Neutral 3" xfId="45"/>
    <cellStyle name="Normal" xfId="0" builtinId="0"/>
    <cellStyle name="Normal 2" xfId="43"/>
    <cellStyle name="Note" xfId="16" builtinId="10" customBuiltin="1"/>
    <cellStyle name="Output" xfId="11" builtinId="21" customBuiltin="1"/>
    <cellStyle name="Required" xfId="1"/>
    <cellStyle name="Title" xfId="3" builtinId="15" customBuiltin="1"/>
    <cellStyle name="Total" xfId="18" builtinId="25" customBuiltin="1"/>
    <cellStyle name="Warning Text" xfId="15" builtinId="11" customBuiltin="1"/>
  </cellStyles>
  <dxfs count="19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border diagonalUp="0" diagonalDown="0">
        <left style="thin">
          <color indexed="64"/>
        </left>
        <right style="thin">
          <color indexed="64"/>
        </right>
        <top style="thin">
          <color indexed="64"/>
        </top>
        <bottom style="thin">
          <color indexed="64"/>
        </bottom>
        <vertical/>
        <horizontal/>
      </border>
    </dxf>
    <dxf>
      <numFmt numFmtId="15" formatCode="0.00E+0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rgb="FF000000"/>
          <bgColor rgb="FFFFFFFF"/>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3999755851924192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5999938962981048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8" tint="0.79998168889431442"/>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rgb="FFFFFFFF"/>
        </patternFill>
      </fill>
      <alignment horizontal="left" vertical="top"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theme="1" tint="0.34998626667073579"/>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161"/>
      <color rgb="FFE4C9FF"/>
      <color rgb="FFFFF2E5"/>
      <color rgb="FFC1FFC1"/>
      <color rgb="FF00CC00"/>
      <color rgb="FFCC99FF"/>
      <color rgb="FFEE7EEB"/>
      <color rgb="FFFFCCCC"/>
      <color rgb="FFFFE1E1"/>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55"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47625</xdr:colOff>
      <xdr:row>3</xdr:row>
      <xdr:rowOff>0</xdr:rowOff>
    </xdr:from>
    <xdr:to>
      <xdr:col>9</xdr:col>
      <xdr:colOff>504825</xdr:colOff>
      <xdr:row>8</xdr:row>
      <xdr:rowOff>19050</xdr:rowOff>
    </xdr:to>
    <xdr:sp macro="" textlink="">
      <xdr:nvSpPr>
        <xdr:cNvPr id="2" name="Rectangle 1">
          <a:extLst>
            <a:ext uri="{FF2B5EF4-FFF2-40B4-BE49-F238E27FC236}">
              <a16:creationId xmlns:a16="http://schemas.microsoft.com/office/drawing/2014/main" id="{F8C01550-FAAD-4016-91A1-BBA0FB1F6D50}"/>
            </a:ext>
          </a:extLst>
        </xdr:cNvPr>
        <xdr:cNvSpPr/>
      </xdr:nvSpPr>
      <xdr:spPr>
        <a:xfrm>
          <a:off x="6153150" y="571500"/>
          <a:ext cx="4114800" cy="981075"/>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list of outcome variables used in the model calibration. The light</a:t>
          </a:r>
          <a:r>
            <a:rPr lang="en-AU" sz="1100" baseline="0">
              <a:latin typeface="Arial" panose="020B0604020202020204" pitchFamily="34" charset="0"/>
              <a:cs typeface="Arial" panose="020B0604020202020204" pitchFamily="34" charset="0"/>
            </a:rPr>
            <a:t> </a:t>
          </a:r>
          <a:r>
            <a:rPr lang="en-AU" sz="1100">
              <a:latin typeface="Arial" panose="020B0604020202020204" pitchFamily="34" charset="0"/>
              <a:cs typeface="Arial" panose="020B0604020202020204" pitchFamily="34" charset="0"/>
            </a:rPr>
            <a:t>green cells are outcomes</a:t>
          </a:r>
          <a:r>
            <a:rPr lang="en-AU" sz="1100" baseline="0">
              <a:latin typeface="Arial" panose="020B0604020202020204" pitchFamily="34" charset="0"/>
              <a:cs typeface="Arial" panose="020B0604020202020204" pitchFamily="34" charset="0"/>
            </a:rPr>
            <a:t> that we did not include in calibration. </a:t>
          </a:r>
          <a:endParaRPr lang="en-AU"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EDD0982C-E3F0-478C-9F40-3AF4B945136B}"/>
            </a:ext>
          </a:extLst>
        </xdr:cNvPr>
        <xdr:cNvSpPr/>
      </xdr:nvSpPr>
      <xdr:spPr>
        <a:xfrm>
          <a:off x="1076325"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15</xdr:row>
      <xdr:rowOff>0</xdr:rowOff>
    </xdr:from>
    <xdr:to>
      <xdr:col>4</xdr:col>
      <xdr:colOff>0</xdr:colOff>
      <xdr:row>15</xdr:row>
      <xdr:rowOff>97155</xdr:rowOff>
    </xdr:to>
    <xdr:pic>
      <xdr:nvPicPr>
        <xdr:cNvPr id="74" name="Picture 73">
          <a:extLst>
            <a:ext uri="{FF2B5EF4-FFF2-40B4-BE49-F238E27FC236}">
              <a16:creationId xmlns:a16="http://schemas.microsoft.com/office/drawing/2014/main" id="{00000000-0008-0000-0700-00004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21</xdr:row>
      <xdr:rowOff>0</xdr:rowOff>
    </xdr:from>
    <xdr:to>
      <xdr:col>4</xdr:col>
      <xdr:colOff>0</xdr:colOff>
      <xdr:row>21</xdr:row>
      <xdr:rowOff>97155</xdr:rowOff>
    </xdr:to>
    <xdr:pic>
      <xdr:nvPicPr>
        <xdr:cNvPr id="104" name="Picture 103">
          <a:extLst>
            <a:ext uri="{FF2B5EF4-FFF2-40B4-BE49-F238E27FC236}">
              <a16:creationId xmlns:a16="http://schemas.microsoft.com/office/drawing/2014/main" id="{00000000-0008-0000-0700-00006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48</xdr:row>
      <xdr:rowOff>0</xdr:rowOff>
    </xdr:from>
    <xdr:to>
      <xdr:col>4</xdr:col>
      <xdr:colOff>0</xdr:colOff>
      <xdr:row>48</xdr:row>
      <xdr:rowOff>97155</xdr:rowOff>
    </xdr:to>
    <xdr:pic>
      <xdr:nvPicPr>
        <xdr:cNvPr id="128" name="Picture 127">
          <a:extLst>
            <a:ext uri="{FF2B5EF4-FFF2-40B4-BE49-F238E27FC236}">
              <a16:creationId xmlns:a16="http://schemas.microsoft.com/office/drawing/2014/main" id="{00000000-0008-0000-0700-000080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53</xdr:row>
      <xdr:rowOff>0</xdr:rowOff>
    </xdr:from>
    <xdr:to>
      <xdr:col>4</xdr:col>
      <xdr:colOff>0</xdr:colOff>
      <xdr:row>53</xdr:row>
      <xdr:rowOff>97155</xdr:rowOff>
    </xdr:to>
    <xdr:pic>
      <xdr:nvPicPr>
        <xdr:cNvPr id="152" name="Picture 151">
          <a:extLst>
            <a:ext uri="{FF2B5EF4-FFF2-40B4-BE49-F238E27FC236}">
              <a16:creationId xmlns:a16="http://schemas.microsoft.com/office/drawing/2014/main" id="{00000000-0008-0000-0700-000098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54</xdr:row>
      <xdr:rowOff>0</xdr:rowOff>
    </xdr:from>
    <xdr:to>
      <xdr:col>4</xdr:col>
      <xdr:colOff>0</xdr:colOff>
      <xdr:row>54</xdr:row>
      <xdr:rowOff>97155</xdr:rowOff>
    </xdr:to>
    <xdr:pic>
      <xdr:nvPicPr>
        <xdr:cNvPr id="158" name="Picture 157">
          <a:extLst>
            <a:ext uri="{FF2B5EF4-FFF2-40B4-BE49-F238E27FC236}">
              <a16:creationId xmlns:a16="http://schemas.microsoft.com/office/drawing/2014/main" id="{00000000-0008-0000-0700-00009E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55</xdr:row>
      <xdr:rowOff>0</xdr:rowOff>
    </xdr:from>
    <xdr:to>
      <xdr:col>4</xdr:col>
      <xdr:colOff>0</xdr:colOff>
      <xdr:row>55</xdr:row>
      <xdr:rowOff>97155</xdr:rowOff>
    </xdr:to>
    <xdr:pic>
      <xdr:nvPicPr>
        <xdr:cNvPr id="164" name="Picture 163">
          <a:extLst>
            <a:ext uri="{FF2B5EF4-FFF2-40B4-BE49-F238E27FC236}">
              <a16:creationId xmlns:a16="http://schemas.microsoft.com/office/drawing/2014/main" id="{00000000-0008-0000-0700-0000A4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twoCellAnchor>
    <xdr:from>
      <xdr:col>4</xdr:col>
      <xdr:colOff>0</xdr:colOff>
      <xdr:row>56</xdr:row>
      <xdr:rowOff>0</xdr:rowOff>
    </xdr:from>
    <xdr:to>
      <xdr:col>4</xdr:col>
      <xdr:colOff>0</xdr:colOff>
      <xdr:row>56</xdr:row>
      <xdr:rowOff>97155</xdr:rowOff>
    </xdr:to>
    <xdr:pic>
      <xdr:nvPicPr>
        <xdr:cNvPr id="170" name="Picture 169">
          <a:extLst>
            <a:ext uri="{FF2B5EF4-FFF2-40B4-BE49-F238E27FC236}">
              <a16:creationId xmlns:a16="http://schemas.microsoft.com/office/drawing/2014/main" id="{00000000-0008-0000-0700-0000AA000000}"/>
            </a:ext>
          </a:extLst>
        </xdr:cNvPr>
        <xdr:cNvPicPr/>
      </xdr:nvPicPr>
      <xdr:blipFill>
        <a:blip xmlns:r="http://schemas.openxmlformats.org/officeDocument/2006/relationships" r:embed="rId1">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rot="10800000">
          <a:off x="0" y="0"/>
          <a:ext cx="97155" cy="9715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1E32844F-AE2E-4068-80DF-330A92A45711}"/>
            </a:ext>
          </a:extLst>
        </xdr:cNvPr>
        <xdr:cNvSpPr/>
      </xdr:nvSpPr>
      <xdr:spPr>
        <a:xfrm>
          <a:off x="209550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9319F0B8-9540-4738-88EF-D6D96C6B1D9C}"/>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5514975</xdr:colOff>
      <xdr:row>0</xdr:row>
      <xdr:rowOff>1352550</xdr:rowOff>
    </xdr:to>
    <xdr:sp macro="" textlink="">
      <xdr:nvSpPr>
        <xdr:cNvPr id="2" name="Rectangle 1">
          <a:extLst>
            <a:ext uri="{FF2B5EF4-FFF2-40B4-BE49-F238E27FC236}">
              <a16:creationId xmlns:a16="http://schemas.microsoft.com/office/drawing/2014/main" id="{FE47F51E-E7E8-4CB1-91EE-641E92F9B43E}"/>
            </a:ext>
          </a:extLst>
        </xdr:cNvPr>
        <xdr:cNvSpPr/>
      </xdr:nvSpPr>
      <xdr:spPr>
        <a:xfrm>
          <a:off x="2095500" y="123825"/>
          <a:ext cx="5457825"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The quantification of the qualitative assumptions for socio-economic parameters under each SSP. Each</a:t>
          </a:r>
          <a:r>
            <a:rPr lang="en-AU" sz="1100" baseline="0"/>
            <a:t> cell is the a function of the reference value and the variation rate in the 'Quantitative_assumption_rates' sheet. The values of the blue cells are independent of the variation rate sheet. The two purple cells are not calculated based on the variation sheet too. The purple cells are set 1 as this is maximum meangful value of the parameter.</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209550</xdr:colOff>
      <xdr:row>3</xdr:row>
      <xdr:rowOff>123825</xdr:rowOff>
    </xdr:from>
    <xdr:to>
      <xdr:col>16</xdr:col>
      <xdr:colOff>142875</xdr:colOff>
      <xdr:row>11</xdr:row>
      <xdr:rowOff>9525</xdr:rowOff>
    </xdr:to>
    <xdr:sp macro="" textlink="">
      <xdr:nvSpPr>
        <xdr:cNvPr id="2" name="Rectangle 1">
          <a:extLst>
            <a:ext uri="{FF2B5EF4-FFF2-40B4-BE49-F238E27FC236}">
              <a16:creationId xmlns:a16="http://schemas.microsoft.com/office/drawing/2014/main" id="{095B7909-50CB-4EE0-BF7C-0B944EE21B10}"/>
            </a:ext>
          </a:extLst>
        </xdr:cNvPr>
        <xdr:cNvSpPr/>
      </xdr:nvSpPr>
      <xdr:spPr>
        <a:xfrm>
          <a:off x="8429625" y="733425"/>
          <a:ext cx="5762625" cy="1600200"/>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 initial uncertain socioeconomic parameters in FeliX used for sensitivty analysis. The uncertainty range for all parameters except blue cells are +-25% which is set in the Jupyter notebook. The 'Reference' column for blue cells are the variables where a balanced uncetainty range (e.g., +-25%) in Python notebook is not meaningful with the current model structure. They show 0 to make the notebook reads min and max value from the spreadsheet.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215446</xdr:colOff>
      <xdr:row>0</xdr:row>
      <xdr:rowOff>124733</xdr:rowOff>
    </xdr:from>
    <xdr:to>
      <xdr:col>11</xdr:col>
      <xdr:colOff>72797</xdr:colOff>
      <xdr:row>0</xdr:row>
      <xdr:rowOff>1841726</xdr:rowOff>
    </xdr:to>
    <xdr:sp macro="" textlink="">
      <xdr:nvSpPr>
        <xdr:cNvPr id="3" name="Rectangle 2">
          <a:extLst>
            <a:ext uri="{FF2B5EF4-FFF2-40B4-BE49-F238E27FC236}">
              <a16:creationId xmlns:a16="http://schemas.microsoft.com/office/drawing/2014/main" id="{082C3F14-B4ED-44A7-BB34-5C62E5077AF6}"/>
            </a:ext>
          </a:extLst>
        </xdr:cNvPr>
        <xdr:cNvSpPr/>
      </xdr:nvSpPr>
      <xdr:spPr>
        <a:xfrm>
          <a:off x="10420803" y="124733"/>
          <a:ext cx="3735387" cy="1716993"/>
        </a:xfrm>
        <a:prstGeom prst="rect">
          <a:avLst/>
        </a:prstGeom>
        <a:solidFill>
          <a:srgbClr val="00B050"/>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AU" sz="1100">
              <a:latin typeface="Arial" panose="020B0604020202020204" pitchFamily="34" charset="0"/>
              <a:cs typeface="Arial" panose="020B0604020202020204" pitchFamily="34" charset="0"/>
            </a:rPr>
            <a:t>Note: These are the</a:t>
          </a:r>
          <a:r>
            <a:rPr lang="en-AU" sz="1100" baseline="0">
              <a:latin typeface="Arial" panose="020B0604020202020204" pitchFamily="34" charset="0"/>
              <a:cs typeface="Arial" panose="020B0604020202020204" pitchFamily="34" charset="0"/>
            </a:rPr>
            <a:t> important</a:t>
          </a:r>
          <a:r>
            <a:rPr lang="en-AU" sz="1100">
              <a:latin typeface="Arial" panose="020B0604020202020204" pitchFamily="34" charset="0"/>
              <a:cs typeface="Arial" panose="020B0604020202020204" pitchFamily="34" charset="0"/>
            </a:rPr>
            <a:t> uncertain socioeconomic parameters in FeliX identified through</a:t>
          </a:r>
          <a:r>
            <a:rPr lang="en-AU" sz="1100" baseline="0">
              <a:latin typeface="Arial" panose="020B0604020202020204" pitchFamily="34" charset="0"/>
              <a:cs typeface="Arial" panose="020B0604020202020204" pitchFamily="34" charset="0"/>
            </a:rPr>
            <a:t> sensitivty analysis. They are used for calibration of the model under SSPs. The Jupyter notebook reads from columns C, D, E and write them into a text file to be used in Vensim as calibration file.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073150" y="123825"/>
          <a:ext cx="6218767"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095500" y="123825"/>
          <a:ext cx="5480580"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6275917</xdr:colOff>
      <xdr:row>0</xdr:row>
      <xdr:rowOff>1352550</xdr:rowOff>
    </xdr:to>
    <xdr:sp macro="" textlink="">
      <xdr:nvSpPr>
        <xdr:cNvPr id="2" name="Rectangle 1">
          <a:extLst>
            <a:ext uri="{FF2B5EF4-FFF2-40B4-BE49-F238E27FC236}">
              <a16:creationId xmlns:a16="http://schemas.microsoft.com/office/drawing/2014/main" id="{90392992-1BFE-4D75-BAA8-7165E6A1B15C}"/>
            </a:ext>
          </a:extLst>
        </xdr:cNvPr>
        <xdr:cNvSpPr/>
      </xdr:nvSpPr>
      <xdr:spPr>
        <a:xfrm>
          <a:off x="2343150" y="123825"/>
          <a:ext cx="5485342" cy="122872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qualitative</a:t>
          </a:r>
          <a:r>
            <a:rPr lang="en-AU" sz="1100" baseline="0"/>
            <a:t> assumptions of the SSPs scenarios, according to the qualitative assumptions in the original SSPs articles also informed by projections in IIASA database.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a:t>
          </a:r>
          <a:endParaRPr lang="en-AU"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57150</xdr:colOff>
      <xdr:row>0</xdr:row>
      <xdr:rowOff>123825</xdr:rowOff>
    </xdr:from>
    <xdr:to>
      <xdr:col>2</xdr:col>
      <xdr:colOff>6360583</xdr:colOff>
      <xdr:row>0</xdr:row>
      <xdr:rowOff>1728107</xdr:rowOff>
    </xdr:to>
    <xdr:sp macro="" textlink="">
      <xdr:nvSpPr>
        <xdr:cNvPr id="2" name="Rectangle 1">
          <a:extLst>
            <a:ext uri="{FF2B5EF4-FFF2-40B4-BE49-F238E27FC236}">
              <a16:creationId xmlns:a16="http://schemas.microsoft.com/office/drawing/2014/main" id="{71B6EEE2-BF37-41FF-B78F-2FED7D7C87C6}"/>
            </a:ext>
          </a:extLst>
        </xdr:cNvPr>
        <xdr:cNvSpPr/>
      </xdr:nvSpPr>
      <xdr:spPr>
        <a:xfrm>
          <a:off x="1077686" y="123825"/>
          <a:ext cx="6303433" cy="1604282"/>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Note: A summary of the quantitative</a:t>
          </a:r>
          <a:r>
            <a:rPr lang="en-AU" sz="1100" baseline="0"/>
            <a:t> variation of socioeconomic parameters across the SSPs, based on the the qualitative assumptions in the 'Qualitative_assumptions' sheet. In uncertainty column, the red parameters are those which have a nagative correlation with the output (e.g., increase in birth gender fraction decreases the total population output) and the green parameters are those with positive correlation. The black parameters are those with no conclusion about their their correlation direction with output. The correlation direction was tested in Vensim. For now, a global average varaition is used for SSP4. The blue cells are left epty because theirvariation is not symetrical around the ir reference value. The values in this spreadsheet is used in the 'Quantitative_assumption_values' to calculate the parameter values.</a:t>
          </a:r>
          <a:endParaRPr lang="en-AU" sz="1100"/>
        </a:p>
      </xdr:txBody>
    </xdr:sp>
    <xdr:clientData/>
  </xdr:twoCellAnchor>
</xdr:wsDr>
</file>

<file path=xl/tables/table1.xml><?xml version="1.0" encoding="utf-8"?>
<table xmlns="http://schemas.openxmlformats.org/spreadsheetml/2006/main" id="3" name="Table14" displayName="Table14" ref="A1:AC491" totalsRowShown="0" headerRowDxfId="190" dataDxfId="188" headerRowBorderDxfId="189" tableBorderDxfId="187" totalsRowBorderDxfId="186">
  <autoFilter ref="A1:AC491">
    <filterColumn colId="1">
      <customFilters>
        <customFilter operator="notEqual" val=" "/>
      </customFilters>
    </filterColumn>
  </autoFilter>
  <tableColumns count="29">
    <tableColumn id="1" name="ID" dataDxfId="185"/>
    <tableColumn id="2" name="Target indicator" dataDxfId="184"/>
    <tableColumn id="3" name="Unit" dataDxfId="183"/>
    <tableColumn id="4" name="Scale" dataDxfId="182"/>
    <tableColumn id="5" name="Year 1" dataDxfId="181"/>
    <tableColumn id="6" name="Year 2" dataDxfId="180"/>
    <tableColumn id="7" name="Year 3" dataDxfId="179"/>
    <tableColumn id="8" name="Data reference year" dataDxfId="178"/>
    <tableColumn id="9" name="Data reference value" dataDxfId="177"/>
    <tableColumn id="17" name="Model reference year" dataDxfId="176"/>
    <tableColumn id="18" name="Model reference value" dataDxfId="175"/>
    <tableColumn id="10" name="Ambitious target 2030" dataDxfId="174"/>
    <tableColumn id="19" name="Ambitious target improvement rate 2030" dataDxfId="173"/>
    <tableColumn id="14" name="Moderate target 2030" dataDxfId="172"/>
    <tableColumn id="27" name="Weak target 2030" dataDxfId="171"/>
    <tableColumn id="16" name="Worst value 2030" dataDxfId="170"/>
    <tableColumn id="32" name="Ambitious target 2050" dataDxfId="169"/>
    <tableColumn id="36" name="Ambitious target improvement rate 2050" dataDxfId="168"/>
    <tableColumn id="31" name="Moderate target 2050" dataDxfId="167"/>
    <tableColumn id="30" name="Weak target 2050" dataDxfId="166"/>
    <tableColumn id="15" name="Worst value 2050" dataDxfId="165"/>
    <tableColumn id="33" name="Ambitious target 2100" dataDxfId="164"/>
    <tableColumn id="34" name="Ambitious target improvement rate 2100" dataDxfId="163"/>
    <tableColumn id="35" name="Moderate target 2100" dataDxfId="162"/>
    <tableColumn id="37" name="Weak target 2100" dataDxfId="161"/>
    <tableColumn id="22" name="Worst value 2100" dataDxfId="160"/>
    <tableColumn id="11" name="Justification for 2030/2050/2100 ambitious targets" dataDxfId="159"/>
    <tableColumn id="12" name="Note" dataDxfId="158"/>
    <tableColumn id="13" name="Link" dataDxfId="157"/>
  </tableColumns>
  <tableStyleInfo showFirstColumn="0" showLastColumn="0" showRowStripes="1" showColumnStripes="0"/>
</table>
</file>

<file path=xl/tables/table2.xml><?xml version="1.0" encoding="utf-8"?>
<table xmlns="http://schemas.openxmlformats.org/spreadsheetml/2006/main" id="2" name="Table13" displayName="Table13" ref="A1:T42" totalsRowShown="0" headerRowDxfId="156" dataDxfId="154" headerRowBorderDxfId="155" tableBorderDxfId="153" totalsRowBorderDxfId="152">
  <autoFilter ref="A1:T42"/>
  <tableColumns count="20">
    <tableColumn id="1" name="ID" dataDxfId="151"/>
    <tableColumn id="2" name="Target indicator" dataDxfId="150"/>
    <tableColumn id="3" name="Unit" dataDxfId="149"/>
    <tableColumn id="4" name="Scale" dataDxfId="148"/>
    <tableColumn id="8" name="Data reference year" dataDxfId="147"/>
    <tableColumn id="9" name="Data reference value" dataDxfId="146"/>
    <tableColumn id="5" name="Model reference year" dataDxfId="145"/>
    <tableColumn id="6" name="Model reference value" dataDxfId="144"/>
    <tableColumn id="7" name="Ambitious target 2030" dataDxfId="143"/>
    <tableColumn id="10" name="Moderate target 2030" dataDxfId="142"/>
    <tableColumn id="11" name="Weak target 2030" dataDxfId="141"/>
    <tableColumn id="12" name="Worst value 2030" dataDxfId="140"/>
    <tableColumn id="14" name="Ambitious target 2050" dataDxfId="139"/>
    <tableColumn id="13" name="Moderate target 2050" dataDxfId="138"/>
    <tableColumn id="16" name="Weak target 2050" dataDxfId="137"/>
    <tableColumn id="17" name="Worst value 2050" dataDxfId="136"/>
    <tableColumn id="18" name="Ambitious target 2100" dataDxfId="135"/>
    <tableColumn id="15" name="Moderate target 2100" dataDxfId="134"/>
    <tableColumn id="19" name="Weak target 2100" dataDxfId="133"/>
    <tableColumn id="20" name="Worst value 2100" dataDxfId="132"/>
  </tableColumns>
  <tableStyleInfo showFirstColumn="0" showLastColumn="0" showRowStripes="1" showColumnStripes="0"/>
</table>
</file>

<file path=xl/tables/table3.xml><?xml version="1.0" encoding="utf-8"?>
<table xmlns="http://schemas.openxmlformats.org/spreadsheetml/2006/main" id="7" name="Table148" displayName="Table148" ref="A1:AC503" totalsRowShown="0" headerRowDxfId="131" dataDxfId="129" headerRowBorderDxfId="130" tableBorderDxfId="128" totalsRowBorderDxfId="127">
  <autoFilter ref="A1:AC503">
    <filterColumn colId="1">
      <customFilters>
        <customFilter operator="notEqual" val=" "/>
      </customFilters>
    </filterColumn>
  </autoFilter>
  <tableColumns count="29">
    <tableColumn id="1" name="ID" dataDxfId="126"/>
    <tableColumn id="2" name="Target indicator" dataDxfId="125"/>
    <tableColumn id="3" name="Unit" dataDxfId="124"/>
    <tableColumn id="4" name="Scale" dataDxfId="123"/>
    <tableColumn id="5" name="Year 1" dataDxfId="122"/>
    <tableColumn id="6" name="Year 2" dataDxfId="121"/>
    <tableColumn id="7" name="Year 3" dataDxfId="120"/>
    <tableColumn id="8" name="Data reference year" dataDxfId="119"/>
    <tableColumn id="9" name="Data reference value" dataDxfId="118"/>
    <tableColumn id="17" name="Model reference year" dataDxfId="117"/>
    <tableColumn id="18" name="Model reference value" dataDxfId="116"/>
    <tableColumn id="20" name="Best value" dataDxfId="115">
      <calculatedColumnFormula>Table148[[#This Row],[Ambitious target 2030]]+Table148[[#This Row],[Ambitious target 2030]]*0.5</calculatedColumnFormula>
    </tableColumn>
    <tableColumn id="10" name="Ambitious target 2030" dataDxfId="114"/>
    <tableColumn id="19" name="Ambitious target improvement rate 2030" dataDxfId="113"/>
    <tableColumn id="14" name="Moderate target 2030" dataDxfId="112"/>
    <tableColumn id="27" name="Weak target 2030" dataDxfId="111"/>
    <tableColumn id="21" name="Worst value" dataDxfId="110">
      <calculatedColumnFormula>Table148[[#This Row],[Red target]]-Table148[[#This Row],[Red target]]*0.5</calculatedColumnFormula>
    </tableColumn>
    <tableColumn id="32" name="Ambitious target 2050" dataDxfId="109"/>
    <tableColumn id="36" name="Ambitious target improvement rate 2050" dataDxfId="108"/>
    <tableColumn id="31" name="Moderate target 2050" dataDxfId="107"/>
    <tableColumn id="30" name="Weak target 2050" dataDxfId="106"/>
    <tableColumn id="33" name="Ambitious target 2100" dataDxfId="105"/>
    <tableColumn id="34" name="Ambitious target improvement rate 2100" dataDxfId="104"/>
    <tableColumn id="35" name="Moderate target 2100" dataDxfId="103"/>
    <tableColumn id="37" name="Weak target 2100" dataDxfId="102"/>
    <tableColumn id="16" name="Red target" dataDxfId="101"/>
    <tableColumn id="11" name="Justification for 2030/2050/2100 ambitious targets" dataDxfId="100"/>
    <tableColumn id="12" name="Note" dataDxfId="99"/>
    <tableColumn id="13" name="Link" dataDxfId="98"/>
  </tableColumns>
  <tableStyleInfo showFirstColumn="0" showLastColumn="0" showRowStripes="1" showColumnStripes="0"/>
</table>
</file>

<file path=xl/tables/table4.xml><?xml version="1.0" encoding="utf-8"?>
<table xmlns="http://schemas.openxmlformats.org/spreadsheetml/2006/main" id="6" name="Table147" displayName="Table147" ref="A1:AC503" totalsRowShown="0" headerRowDxfId="97" dataDxfId="95" headerRowBorderDxfId="96" tableBorderDxfId="94" totalsRowBorderDxfId="93">
  <autoFilter ref="A1:AC503">
    <filterColumn colId="1">
      <customFilters>
        <customFilter operator="notEqual" val=" "/>
      </customFilters>
    </filterColumn>
    <filterColumn colId="26">
      <filters>
        <filter val="SDG absolute threshold"/>
        <filter val="Technical optimum"/>
        <filter val="Top performers"/>
      </filters>
    </filterColumn>
  </autoFilter>
  <tableColumns count="29">
    <tableColumn id="1" name="ID" dataDxfId="92"/>
    <tableColumn id="2" name="Target indicator" dataDxfId="91"/>
    <tableColumn id="3" name="Unit" dataDxfId="90"/>
    <tableColumn id="4" name="Scale" dataDxfId="89"/>
    <tableColumn id="5" name="Year 1" dataDxfId="88"/>
    <tableColumn id="6" name="Year 2" dataDxfId="87"/>
    <tableColumn id="7" name="Year 3" dataDxfId="86"/>
    <tableColumn id="8" name="Data reference year" dataDxfId="85"/>
    <tableColumn id="9" name="Data reference value" dataDxfId="84"/>
    <tableColumn id="17" name="Model reference year" dataDxfId="83"/>
    <tableColumn id="18" name="Model reference value" dataDxfId="82"/>
    <tableColumn id="20" name="Best value" dataDxfId="81">
      <calculatedColumnFormula>Table147[[#This Row],[Ambitious target 2030]]+Table147[[#This Row],[Ambitious target 2030]]*0.5</calculatedColumnFormula>
    </tableColumn>
    <tableColumn id="10" name="Ambitious target 2030" dataDxfId="80"/>
    <tableColumn id="19" name="Ambitious target improvement rate 2030" dataDxfId="79"/>
    <tableColumn id="14" name="Moderate target 2030" dataDxfId="78"/>
    <tableColumn id="27" name="Weak target 2030" dataDxfId="77"/>
    <tableColumn id="21" name="Worst value" dataDxfId="76">
      <calculatedColumnFormula>Table147[[#This Row],[Red target]]-Table147[[#This Row],[Red target]]*0.5</calculatedColumnFormula>
    </tableColumn>
    <tableColumn id="32" name="Ambitious target 2050" dataDxfId="75"/>
    <tableColumn id="36" name="Ambitious target improvement rate 2050" dataDxfId="74"/>
    <tableColumn id="31" name="Moderate target 2050" dataDxfId="73"/>
    <tableColumn id="30" name="Weak target 2050" dataDxfId="72"/>
    <tableColumn id="33" name="Ambitious target 2100" dataDxfId="71"/>
    <tableColumn id="34" name="Ambitious target improvement rate 2100" dataDxfId="70"/>
    <tableColumn id="35" name="Moderate target 2100" dataDxfId="69"/>
    <tableColumn id="37" name="Weak target 21002" dataDxfId="68"/>
    <tableColumn id="16" name="Red target" dataDxfId="67"/>
    <tableColumn id="11" name="Justification for 2030/2050/2100 ambitious targets" dataDxfId="66"/>
    <tableColumn id="12" name="Note" dataDxfId="65"/>
    <tableColumn id="13" name="Link" dataDxfId="64"/>
  </tableColumns>
  <tableStyleInfo showFirstColumn="0" showLastColumn="0" showRowStripes="1" showColumnStripes="0"/>
</table>
</file>

<file path=xl/tables/table5.xml><?xml version="1.0" encoding="utf-8"?>
<table xmlns="http://schemas.openxmlformats.org/spreadsheetml/2006/main" id="5" name="Table146" displayName="Table146" ref="A1:T539" totalsRowShown="0" headerRowDxfId="63" dataDxfId="61" headerRowBorderDxfId="62" tableBorderDxfId="60" totalsRowBorderDxfId="59">
  <autoFilter ref="A1:T539"/>
  <tableColumns count="20">
    <tableColumn id="1" name="ID" dataDxfId="58"/>
    <tableColumn id="2" name="Target indicator" dataDxfId="57"/>
    <tableColumn id="3" name="Unit" dataDxfId="56"/>
    <tableColumn id="4" name="Scale" dataDxfId="55"/>
    <tableColumn id="5" name="Year 1" dataDxfId="54"/>
    <tableColumn id="6" name="Year 2" dataDxfId="53"/>
    <tableColumn id="7" name="Year 3" dataDxfId="52"/>
    <tableColumn id="8" name="Data reference year" dataDxfId="51"/>
    <tableColumn id="9" name="Data reference value" dataDxfId="50"/>
    <tableColumn id="17" name="Model reference year" dataDxfId="49"/>
    <tableColumn id="18" name="Model reference value" dataDxfId="48"/>
    <tableColumn id="20" name="Best value" dataDxfId="47">
      <calculatedColumnFormula>Table146[[#This Row],[Green target threshold]]+Table146[[#This Row],[Green target threshold]]*0.5</calculatedColumnFormula>
    </tableColumn>
    <tableColumn id="10" name="Green target threshold" dataDxfId="46"/>
    <tableColumn id="19" name="Improvement rate" dataDxfId="45"/>
    <tableColumn id="11" name="Justification" dataDxfId="44"/>
    <tableColumn id="14" name="Yellow target threshold" dataDxfId="43"/>
    <tableColumn id="16" name="Red target threshold" dataDxfId="42"/>
    <tableColumn id="21" name="Worst value" dataDxfId="41">
      <calculatedColumnFormula>Table146[[#This Row],[Red target threshold]]-Table146[[#This Row],[Red target threshold]]*0.5</calculatedColumnFormula>
    </tableColumn>
    <tableColumn id="12" name="Note" dataDxfId="40"/>
    <tableColumn id="13" name="Link" dataDxfId="39"/>
  </tableColumns>
  <tableStyleInfo showFirstColumn="0" showLastColumn="0" showRowStripes="1" showColumnStripes="0"/>
</table>
</file>

<file path=xl/tables/table6.xml><?xml version="1.0" encoding="utf-8"?>
<table xmlns="http://schemas.openxmlformats.org/spreadsheetml/2006/main" id="1" name="Table1" displayName="Table1" ref="A1:U551" totalsRowShown="0" headerRowDxfId="38" dataDxfId="36" headerRowBorderDxfId="37" tableBorderDxfId="35" totalsRowBorderDxfId="34">
  <autoFilter ref="A1:U551">
    <filterColumn colId="1">
      <customFilters>
        <customFilter operator="notEqual" val=" "/>
      </customFilters>
    </filterColumn>
    <filterColumn colId="14">
      <filters>
        <filter val="Global improvement"/>
      </filters>
    </filterColumn>
  </autoFilter>
  <tableColumns count="21">
    <tableColumn id="1" name="ID" dataDxfId="33"/>
    <tableColumn id="2" name="Target indicator" dataDxfId="32"/>
    <tableColumn id="3" name="Unit" dataDxfId="31"/>
    <tableColumn id="4" name="World/region/country" dataDxfId="30"/>
    <tableColumn id="5" name="Year 1" dataDxfId="29"/>
    <tableColumn id="6" name="Year 2" dataDxfId="28"/>
    <tableColumn id="7" name="Year 3" dataDxfId="27"/>
    <tableColumn id="8" name="Data reference year" dataDxfId="26"/>
    <tableColumn id="9" name="Data reference value" dataDxfId="25"/>
    <tableColumn id="17" name="Model reference year" dataDxfId="24"/>
    <tableColumn id="18" name="Model reference value" dataDxfId="23"/>
    <tableColumn id="20" name="Best value" dataDxfId="22">
      <calculatedColumnFormula>Table1[[#This Row],[Green target threshold]]+Table1[[#This Row],[Green target threshold]]*0.5</calculatedColumnFormula>
    </tableColumn>
    <tableColumn id="10" name="Green target threshold" dataDxfId="21"/>
    <tableColumn id="19" name="Improvement rate" dataDxfId="20"/>
    <tableColumn id="11" name="Justification" dataDxfId="19"/>
    <tableColumn id="14" name="Yellow target threshold" dataDxfId="18"/>
    <tableColumn id="15" name="Orange target threshold" dataDxfId="17"/>
    <tableColumn id="16" name="Red target threshold" dataDxfId="16"/>
    <tableColumn id="21" name="Worst value" dataDxfId="15">
      <calculatedColumnFormula>Table1[[#This Row],[Red target threshold]]-Table1[[#This Row],[Red target threshold]]*0.5</calculatedColumnFormula>
    </tableColumn>
    <tableColumn id="12" name="Note" dataDxfId="14"/>
    <tableColumn id="13" name="Link" dataDxfId="13"/>
  </tableColumns>
  <tableStyleInfo showFirstColumn="0" showLastColumn="0" showRowStripes="1" showColumnStripes="0"/>
</table>
</file>

<file path=xl/tables/table7.xml><?xml version="1.0" encoding="utf-8"?>
<table xmlns="http://schemas.openxmlformats.org/spreadsheetml/2006/main" id="4" name="Table4" displayName="Table4" ref="B1:M29" totalsRowShown="0" headerRowDxfId="12" tableBorderDxfId="11">
  <autoFilter ref="B1:M29"/>
  <tableColumns count="12">
    <tableColumn id="1" name="Target indicator" dataDxfId="10"/>
    <tableColumn id="2" name="Unit" dataDxfId="9"/>
    <tableColumn id="3" name="FeliX global average projection"/>
    <tableColumn id="4" name="Reference year" dataDxfId="8"/>
    <tableColumn id="5" name="Best value" dataDxfId="7"/>
    <tableColumn id="6" name="Green target threshold" dataDxfId="6">
      <calculatedColumnFormula>D2+D2*H2</calculatedColumnFormula>
    </tableColumn>
    <tableColumn id="7" name="Improvement rate" dataDxfId="5"/>
    <tableColumn id="8" name="Justification" dataDxfId="4"/>
    <tableColumn id="9" name="Yellow target threshold" dataDxfId="3">
      <calculatedColumnFormula>(Table4[[#This Row],[Green target threshold]]-Table4[[#This Row],[FeliX global average projection]])*0.5+Table4[[#This Row],[FeliX global average projection]]</calculatedColumnFormula>
    </tableColumn>
    <tableColumn id="10" name="Red target threshold" dataDxfId="2"/>
    <tableColumn id="11" name="Worst value" dataDxfId="1">
      <calculatedColumnFormula>K2+K2*0.5</calculatedColumnFormula>
    </tableColumn>
    <tableColumn id="12"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3" Type="http://schemas.openxmlformats.org/officeDocument/2006/relationships/hyperlink" Target="https://data.worldbank.org/indicator/EG.EGY.PRIM.PP.KD" TargetMode="External"/><Relationship Id="rId18" Type="http://schemas.openxmlformats.org/officeDocument/2006/relationships/hyperlink" Target="http://www.fao.org/faostat/en/" TargetMode="External"/><Relationship Id="rId26" Type="http://schemas.openxmlformats.org/officeDocument/2006/relationships/hyperlink" Target="http://www.fao.org/faostat/en/"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cbd.int/doc/publications/cbd-ts-31.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40" TargetMode="External"/><Relationship Id="rId47" Type="http://schemas.openxmlformats.org/officeDocument/2006/relationships/hyperlink" Target="http://www.fao.org/faostat/en/" TargetMode="External"/><Relationship Id="rId50" Type="http://schemas.openxmlformats.org/officeDocument/2006/relationships/hyperlink" Target="https://www.iea.org/data-and-statistics/?country=WORLD&amp;fuel=Renewables%20and%20waste&amp;indicator=Solar%20PV%20electricity%20generation" TargetMode="External"/><Relationship Id="rId55" Type="http://schemas.openxmlformats.org/officeDocument/2006/relationships/table" Target="../tables/table1.xml"/><Relationship Id="rId7" Type="http://schemas.openxmlformats.org/officeDocument/2006/relationships/hyperlink" Target="http://hdr.undp.org/en/indicators/137506" TargetMode="External"/><Relationship Id="rId12" Type="http://schemas.openxmlformats.org/officeDocument/2006/relationships/hyperlink" Target="https://www.nature.com/articles/ngeo2635" TargetMode="External"/><Relationship Id="rId17" Type="http://schemas.openxmlformats.org/officeDocument/2006/relationships/hyperlink" Target="http://www.fao.org/faostat/en/" TargetMode="External"/><Relationship Id="rId25" Type="http://schemas.openxmlformats.org/officeDocument/2006/relationships/hyperlink" Target="http://hdr.undp.org/en/indicators/174306" TargetMode="External"/><Relationship Id="rId33" Type="http://schemas.openxmlformats.org/officeDocument/2006/relationships/hyperlink" Target="https://tntcat.iiasa.ac.at/SspDb/dsd?Action=htmlpage&amp;page=about"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www.fao.org/faostat/en/"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s://www.ipcc.ch/site/assets/uploads/2018/02/WG1AR5_Chapter08_FINAL.pdf" TargetMode="External"/><Relationship Id="rId29" Type="http://schemas.openxmlformats.org/officeDocument/2006/relationships/hyperlink" Target="https://www.ifastat.org/databases/plant-nutrition" TargetMode="External"/><Relationship Id="rId41" Type="http://schemas.openxmlformats.org/officeDocument/2006/relationships/hyperlink" Target="https://tntcat.iiasa.ac.at/SspDb/dsd?Action=htmlpage&amp;page=40" TargetMode="External"/><Relationship Id="rId54" Type="http://schemas.openxmlformats.org/officeDocument/2006/relationships/printerSettings" Target="../printerSettings/printerSettings22.bin"/><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24" Type="http://schemas.openxmlformats.org/officeDocument/2006/relationships/hyperlink" Target="https://www.esrl.noaa.gov/gmd/ccgg/trends/global.html" TargetMode="External"/><Relationship Id="rId32" Type="http://schemas.openxmlformats.org/officeDocument/2006/relationships/hyperlink" Target="https://tntcat.iiasa.ac.at/SspDb/dsd?Action=htmlpage&amp;page=about"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40" TargetMode="External"/><Relationship Id="rId45" Type="http://schemas.openxmlformats.org/officeDocument/2006/relationships/hyperlink" Target="http://www.fao.org/faostat/en/" TargetMode="External"/><Relationship Id="rId53" Type="http://schemas.openxmlformats.org/officeDocument/2006/relationships/hyperlink" Target="http://data.uis.unesco.org/"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www.fao.org/faostat/en/" TargetMode="External"/><Relationship Id="rId23" Type="http://schemas.openxmlformats.org/officeDocument/2006/relationships/hyperlink" Target="https://www.co2.earth/historical-co2-datasets" TargetMode="External"/><Relationship Id="rId28" Type="http://schemas.openxmlformats.org/officeDocument/2006/relationships/hyperlink" Target="https://www.ifastat.org/databases/plant-nutritio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www.iea.org/data-and-statistics/?country=WORLD&amp;fuel=Renewables%20and%20waste&amp;indicator=Wind%20electricity%20generatio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s://www.ipcc.ch/site/assets/uploads/2018/02/WG1AR5_Chapter08_FINAL.pdf" TargetMode="External"/><Relationship Id="rId31" Type="http://schemas.openxmlformats.org/officeDocument/2006/relationships/hyperlink" Target="https://tntcat.iiasa.ac.at/SspDb/dsd?Action=htmlpage&amp;page=about" TargetMode="External"/><Relationship Id="rId44" Type="http://schemas.openxmlformats.org/officeDocument/2006/relationships/hyperlink" Target="http://www.fao.org/faostat/en/"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www.fao.org/faostat/en/" TargetMode="External"/><Relationship Id="rId22" Type="http://schemas.openxmlformats.org/officeDocument/2006/relationships/hyperlink" Target="http://hdr.undp.org/en/indicators/163906" TargetMode="External"/><Relationship Id="rId27" Type="http://schemas.openxmlformats.org/officeDocument/2006/relationships/hyperlink" Target="https://di.unfccc.int/detailed_data_by_party" TargetMode="External"/><Relationship Id="rId30" Type="http://schemas.openxmlformats.org/officeDocument/2006/relationships/hyperlink" Target="http://www.fao.org/faostat/en/"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data.worldbank.org/indicator/EN.ATM.CO2E.KD.GD" TargetMode="External"/><Relationship Id="rId48" Type="http://schemas.openxmlformats.org/officeDocument/2006/relationships/hyperlink" Target="https://data.worldbank.org/indicator/EN.ATM.CO2E.PC?view=chart" TargetMode="External"/><Relationship Id="rId8" Type="http://schemas.openxmlformats.org/officeDocument/2006/relationships/hyperlink" Target="http://hdr.undp.org/en/indicators/103006" TargetMode="External"/><Relationship Id="rId51" Type="http://schemas.openxmlformats.org/officeDocument/2006/relationships/hyperlink" Target="https://www.ipcc.ch/site/assets/uploads/2018/02/SYR_AR5_FINAL_full.pdf" TargetMode="External"/><Relationship Id="rId3" Type="http://schemas.openxmlformats.org/officeDocument/2006/relationships/hyperlink" Target="https://data.worldbank.org/indicator/EG.FEC.RNEW.ZS?view=chart" TargetMode="External"/></Relationships>
</file>

<file path=xl/worksheets/_rels/sheet2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hyperlink" Target="https://www.ipcc.ch/site/assets/uploads/2018/02/SYR_AR5_FINAL_full.pdf"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printerSettings" Target="../printerSettings/printerSettings26.bin"/><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www.ipcc.ch/site/assets/uploads/2018/02/SYR_AR5_FINAL_full.pdf"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56" Type="http://schemas.openxmlformats.org/officeDocument/2006/relationships/table" Target="../tables/table3.xm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3" Type="http://schemas.openxmlformats.org/officeDocument/2006/relationships/hyperlink" Target="https://www.nature.com/articles/ngeo2635" TargetMode="External"/><Relationship Id="rId18" Type="http://schemas.openxmlformats.org/officeDocument/2006/relationships/hyperlink" Target="http://www.fao.org/faostat/en/" TargetMode="External"/><Relationship Id="rId26" Type="http://schemas.openxmlformats.org/officeDocument/2006/relationships/hyperlink" Target="https://www.esrl.noaa.gov/gmd/ccgg/trends/global.html"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s://www.ipcc.ch/site/assets/uploads/2018/02/WG1AR5_Chapter08_FINAL.pdf" TargetMode="External"/><Relationship Id="rId34" Type="http://schemas.openxmlformats.org/officeDocument/2006/relationships/hyperlink" Target="https://tntcat.iiasa.ac.at/SspDb/dsd?Action=htmlpage&amp;page=about"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www.fao.org/faostat/en/" TargetMode="External"/><Relationship Id="rId50" Type="http://schemas.openxmlformats.org/officeDocument/2006/relationships/hyperlink" Target="http://www.fao.org/faostat/en/" TargetMode="External"/><Relationship Id="rId55" Type="http://schemas.openxmlformats.org/officeDocument/2006/relationships/table" Target="../tables/table4.xml"/><Relationship Id="rId7" Type="http://schemas.openxmlformats.org/officeDocument/2006/relationships/hyperlink" Target="http://hdr.undp.org/en/indicators/137506" TargetMode="External"/><Relationship Id="rId12"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7" Type="http://schemas.openxmlformats.org/officeDocument/2006/relationships/hyperlink" Target="http://www.fao.org/faostat/en/" TargetMode="External"/><Relationship Id="rId25" Type="http://schemas.openxmlformats.org/officeDocument/2006/relationships/hyperlink" Target="https://www.co2.earth/historical-co2-datasets" TargetMode="External"/><Relationship Id="rId33" Type="http://schemas.openxmlformats.org/officeDocument/2006/relationships/hyperlink" Target="http://www.fao.org/faostat/e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data.worldbank.org/indicator/EN.ATM.CO2E.KD.GD"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www.fao.org/faostat/en/" TargetMode="External"/><Relationship Id="rId20" Type="http://schemas.openxmlformats.org/officeDocument/2006/relationships/hyperlink" Target="http://www.fao.org/faostat/en/" TargetMode="External"/><Relationship Id="rId29" Type="http://schemas.openxmlformats.org/officeDocument/2006/relationships/hyperlink" Target="https://stats.oecd.org/" TargetMode="External"/><Relationship Id="rId41" Type="http://schemas.openxmlformats.org/officeDocument/2006/relationships/hyperlink" Target="https://tntcat.iiasa.ac.at/SspDb/dsd?Action=htmlpage&amp;page=about" TargetMode="External"/><Relationship Id="rId54" Type="http://schemas.openxmlformats.org/officeDocument/2006/relationships/printerSettings" Target="../printerSettings/printerSettings27.bin"/><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hdr.undp.org/en/indicators/163906" TargetMode="External"/><Relationship Id="rId32" Type="http://schemas.openxmlformats.org/officeDocument/2006/relationships/hyperlink" Target="https://www.ifastat.org/databases/plant-nutrition"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40" TargetMode="External"/><Relationship Id="rId53" Type="http://schemas.openxmlformats.org/officeDocument/2006/relationships/hyperlink" Target="https://www.iea.org/data-and-statistics/?country=WORLD&amp;fuel=Renewables%20and%20waste&amp;indicator=Solar%20PV%20electricity%20generation"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s://data.worldbank.org/indicator/EG.EGY.PRIM.PP.KD" TargetMode="External"/><Relationship Id="rId23" Type="http://schemas.openxmlformats.org/officeDocument/2006/relationships/hyperlink" Target="https://www.cbd.int/doc/publications/cbd-ts-31.pdf" TargetMode="External"/><Relationship Id="rId28" Type="http://schemas.openxmlformats.org/officeDocument/2006/relationships/hyperlink" Target="http://www.fao.org/faostat/en/"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www.fao.org/faostat/e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www.ifastat.org/databases/plant-nutrition" TargetMode="External"/><Relationship Id="rId44" Type="http://schemas.openxmlformats.org/officeDocument/2006/relationships/hyperlink" Target="https://tntcat.iiasa.ac.at/SspDb/dsd?Action=htmlpage&amp;page=40" TargetMode="External"/><Relationship Id="rId52" Type="http://schemas.openxmlformats.org/officeDocument/2006/relationships/hyperlink" Target="https://www.iea.org/data-and-statistics/?country=WORLD&amp;fuel=Renewables%20and%20waste&amp;indicator=Wind%20electricity%20generatio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stats.oecd.org/" TargetMode="External"/><Relationship Id="rId22" Type="http://schemas.openxmlformats.org/officeDocument/2006/relationships/hyperlink" Target="https://www.ipcc.ch/site/assets/uploads/2018/02/WG1AR5_Chapter08_FINAL.pdf" TargetMode="External"/><Relationship Id="rId27" Type="http://schemas.openxmlformats.org/officeDocument/2006/relationships/hyperlink" Target="http://hdr.undp.org/en/indicators/174306" TargetMode="External"/><Relationship Id="rId30" Type="http://schemas.openxmlformats.org/officeDocument/2006/relationships/hyperlink" Target="https://di.unfccc.int/detailed_data_by_party" TargetMode="External"/><Relationship Id="rId35" Type="http://schemas.openxmlformats.org/officeDocument/2006/relationships/hyperlink" Target="https://tntcat.iiasa.ac.at/SspDb/dsd?Action=htmlpage&amp;page=about" TargetMode="External"/><Relationship Id="rId43" Type="http://schemas.openxmlformats.org/officeDocument/2006/relationships/hyperlink" Target="https://tntcat.iiasa.ac.at/SspDb/dsd?Action=htmlpage&amp;page=40" TargetMode="External"/><Relationship Id="rId48" Type="http://schemas.openxmlformats.org/officeDocument/2006/relationships/hyperlink" Target="http://www.fao.org/faostat/en/" TargetMode="External"/><Relationship Id="rId8" Type="http://schemas.openxmlformats.org/officeDocument/2006/relationships/hyperlink" Target="http://hdr.undp.org/en/indicators/103006" TargetMode="External"/><Relationship Id="rId51" Type="http://schemas.openxmlformats.org/officeDocument/2006/relationships/hyperlink" Target="https://data.worldbank.org/indicator/EN.ATM.CO2E.PC?view=chart" TargetMode="External"/><Relationship Id="rId3" Type="http://schemas.openxmlformats.org/officeDocument/2006/relationships/hyperlink" Target="https://data.worldbank.org/indicator/EG.FEC.RNEW.ZS?view=chart" TargetMode="External"/></Relationships>
</file>

<file path=xl/worksheets/_rels/sheet31.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www.fao.org/faostat/en/" TargetMode="External"/><Relationship Id="rId55" Type="http://schemas.openxmlformats.org/officeDocument/2006/relationships/hyperlink" Target="https://www.iea.org/data-and-statistics/?country=WORLD&amp;fuel=Renewables%20and%20waste&amp;indicator=Wind%20electricity%20generation"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40"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s://data.worldbank.org/indicator/EN.ATM.CO2E.PC?view=chart"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table" Target="../tables/table5.xml"/><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data.worldbank.org/indicator/EN.ATM.CO2E.KD.GD" TargetMode="External"/><Relationship Id="rId57" Type="http://schemas.openxmlformats.org/officeDocument/2006/relationships/printerSettings" Target="../printerSettings/printerSettings28.bin"/><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Solar%20PV%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18" Type="http://schemas.openxmlformats.org/officeDocument/2006/relationships/hyperlink" Target="http://www.fao.org/faostat/en/" TargetMode="External"/><Relationship Id="rId26" Type="http://schemas.openxmlformats.org/officeDocument/2006/relationships/hyperlink" Target="http://hdr.undp.org/en/indicators/163906" TargetMode="External"/><Relationship Id="rId39" Type="http://schemas.openxmlformats.org/officeDocument/2006/relationships/hyperlink" Target="https://tntcat.iiasa.ac.at/SspDb/dsd?Action=htmlpage&amp;page=about" TargetMode="External"/><Relationship Id="rId21" Type="http://schemas.openxmlformats.org/officeDocument/2006/relationships/hyperlink" Target="http://www.fao.org/faostat/en/" TargetMode="External"/><Relationship Id="rId34" Type="http://schemas.openxmlformats.org/officeDocument/2006/relationships/hyperlink" Target="https://www.ifastat.org/databases/plant-nutrition" TargetMode="External"/><Relationship Id="rId42" Type="http://schemas.openxmlformats.org/officeDocument/2006/relationships/hyperlink" Target="https://tntcat.iiasa.ac.at/SspDb/dsd?Action=htmlpage&amp;page=about" TargetMode="External"/><Relationship Id="rId47" Type="http://schemas.openxmlformats.org/officeDocument/2006/relationships/hyperlink" Target="https://tntcat.iiasa.ac.at/SspDb/dsd?Action=htmlpage&amp;page=40" TargetMode="External"/><Relationship Id="rId50" Type="http://schemas.openxmlformats.org/officeDocument/2006/relationships/hyperlink" Target="https://data.worldbank.org/indicator/EN.ATM.CO2E.KD.GD" TargetMode="External"/><Relationship Id="rId55" Type="http://schemas.openxmlformats.org/officeDocument/2006/relationships/hyperlink" Target="https://data.worldbank.org/indicator/EN.ATM.CO2E.PC?view=chart" TargetMode="External"/><Relationship Id="rId7" Type="http://schemas.openxmlformats.org/officeDocument/2006/relationships/hyperlink" Target="http://hdr.undp.org/en/indicators/137506" TargetMode="External"/><Relationship Id="rId12" Type="http://schemas.openxmlformats.org/officeDocument/2006/relationships/hyperlink" Target="http://data.uis.unesco.org/" TargetMode="External"/><Relationship Id="rId17" Type="http://schemas.openxmlformats.org/officeDocument/2006/relationships/hyperlink" Target="https://data.worldbank.org/indicator/EG.EGY.PRIM.PP.KD" TargetMode="External"/><Relationship Id="rId25" Type="http://schemas.openxmlformats.org/officeDocument/2006/relationships/hyperlink" Target="https://www.cbd.int/doc/publications/cbd-ts-31.pdf" TargetMode="External"/><Relationship Id="rId33" Type="http://schemas.openxmlformats.org/officeDocument/2006/relationships/hyperlink" Target="https://www.ifastat.org/databases/plant-nutrition" TargetMode="External"/><Relationship Id="rId38" Type="http://schemas.openxmlformats.org/officeDocument/2006/relationships/hyperlink" Target="https://tntcat.iiasa.ac.at/SspDb/dsd?Action=htmlpage&amp;page=about" TargetMode="External"/><Relationship Id="rId46" Type="http://schemas.openxmlformats.org/officeDocument/2006/relationships/hyperlink" Target="https://tntcat.iiasa.ac.at/SspDb/dsd?Action=htmlpage&amp;page=about" TargetMode="External"/><Relationship Id="rId59" Type="http://schemas.openxmlformats.org/officeDocument/2006/relationships/table" Target="../tables/table6.xml"/><Relationship Id="rId2" Type="http://schemas.openxmlformats.org/officeDocument/2006/relationships/hyperlink" Target="https://data.worldbank.org/indicator/AG.LND.FRST.ZS?view=chart" TargetMode="External"/><Relationship Id="rId16" Type="http://schemas.openxmlformats.org/officeDocument/2006/relationships/hyperlink" Target="https://ourworldindata.org/renewable-energy" TargetMode="External"/><Relationship Id="rId20" Type="http://schemas.openxmlformats.org/officeDocument/2006/relationships/hyperlink" Target="http://www.fao.org/faostat/en/" TargetMode="External"/><Relationship Id="rId29" Type="http://schemas.openxmlformats.org/officeDocument/2006/relationships/hyperlink" Target="http://hdr.undp.org/en/indicators/174306" TargetMode="External"/><Relationship Id="rId41" Type="http://schemas.openxmlformats.org/officeDocument/2006/relationships/hyperlink" Target="https://tntcat.iiasa.ac.at/SspDb/dsd?Action=htmlpage&amp;page=about" TargetMode="External"/><Relationship Id="rId54" Type="http://schemas.openxmlformats.org/officeDocument/2006/relationships/hyperlink" Target="http://www.fao.org/faostat/en/"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data.uis.unesco.org/" TargetMode="External"/><Relationship Id="rId24" Type="http://schemas.openxmlformats.org/officeDocument/2006/relationships/hyperlink" Target="https://www.ipcc.ch/site/assets/uploads/2018/02/WG1AR5_Chapter08_FINAL.pdf" TargetMode="External"/><Relationship Id="rId32" Type="http://schemas.openxmlformats.org/officeDocument/2006/relationships/hyperlink" Target="https://di.unfccc.int/detailed_data_by_party" TargetMode="External"/><Relationship Id="rId37" Type="http://schemas.openxmlformats.org/officeDocument/2006/relationships/hyperlink" Target="https://tntcat.iiasa.ac.at/SspDb/dsd?Action=htmlpage&amp;page=about" TargetMode="External"/><Relationship Id="rId40" Type="http://schemas.openxmlformats.org/officeDocument/2006/relationships/hyperlink" Target="https://tntcat.iiasa.ac.at/SspDb/dsd?Action=htmlpage&amp;page=about" TargetMode="External"/><Relationship Id="rId45" Type="http://schemas.openxmlformats.org/officeDocument/2006/relationships/hyperlink" Target="https://tntcat.iiasa.ac.at/SspDb/dsd?Action=htmlpage&amp;page=about" TargetMode="External"/><Relationship Id="rId53" Type="http://schemas.openxmlformats.org/officeDocument/2006/relationships/hyperlink" Target="http://www.fao.org/faostat/en/" TargetMode="External"/><Relationship Id="rId58" Type="http://schemas.openxmlformats.org/officeDocument/2006/relationships/printerSettings" Target="../printerSettings/printerSettings29.bin"/><Relationship Id="rId5" Type="http://schemas.openxmlformats.org/officeDocument/2006/relationships/hyperlink" Target="https://data.worldbank.org/indicator/SP.ADO.TFRT?view=chart" TargetMode="External"/><Relationship Id="rId15" Type="http://schemas.openxmlformats.org/officeDocument/2006/relationships/hyperlink" Target="https://stats.oecd.org/" TargetMode="External"/><Relationship Id="rId23" Type="http://schemas.openxmlformats.org/officeDocument/2006/relationships/hyperlink" Target="https://www.ipcc.ch/site/assets/uploads/2018/02/WG1AR5_Chapter08_FINAL.pdf" TargetMode="External"/><Relationship Id="rId28" Type="http://schemas.openxmlformats.org/officeDocument/2006/relationships/hyperlink" Target="https://www.esrl.noaa.gov/gmd/ccgg/trends/global.html" TargetMode="External"/><Relationship Id="rId36" Type="http://schemas.openxmlformats.org/officeDocument/2006/relationships/hyperlink" Target="https://tntcat.iiasa.ac.at/SspDb/dsd?Action=htmlpage&amp;page=about" TargetMode="External"/><Relationship Id="rId49" Type="http://schemas.openxmlformats.org/officeDocument/2006/relationships/hyperlink" Target="https://tntcat.iiasa.ac.at/SspDb/dsd?Action=htmlpage&amp;page=40" TargetMode="External"/><Relationship Id="rId57" Type="http://schemas.openxmlformats.org/officeDocument/2006/relationships/hyperlink" Target="https://www.iea.org/data-and-statistics/?country=WORLD&amp;fuel=Renewables%20and%20waste&amp;indicator=Solar%20PV%20electricity%20generation" TargetMode="External"/><Relationship Id="rId10" Type="http://schemas.openxmlformats.org/officeDocument/2006/relationships/hyperlink" Target="https://www.oecd-ilibrary.org/education/education-at-a-glance-2018/percentage-of-25-34-year-olds-with-tertiary-education-by-level-of-tertiary-education-2017_eag-2018-graph11-en" TargetMode="External"/><Relationship Id="rId19" Type="http://schemas.openxmlformats.org/officeDocument/2006/relationships/hyperlink" Target="http://www.fao.org/faostat/en/" TargetMode="External"/><Relationship Id="rId31" Type="http://schemas.openxmlformats.org/officeDocument/2006/relationships/hyperlink" Target="https://stats.oecd.org/" TargetMode="External"/><Relationship Id="rId44" Type="http://schemas.openxmlformats.org/officeDocument/2006/relationships/hyperlink" Target="https://tntcat.iiasa.ac.at/SspDb/dsd?Action=htmlpage&amp;page=about" TargetMode="External"/><Relationship Id="rId52" Type="http://schemas.openxmlformats.org/officeDocument/2006/relationships/hyperlink" Target="http://www.fao.org/faostat/en/"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86706" TargetMode="External"/><Relationship Id="rId14" Type="http://schemas.openxmlformats.org/officeDocument/2006/relationships/hyperlink" Target="https://www.nature.com/articles/ngeo2635" TargetMode="External"/><Relationship Id="rId22" Type="http://schemas.openxmlformats.org/officeDocument/2006/relationships/hyperlink" Target="http://www.fao.org/faostat/en/" TargetMode="External"/><Relationship Id="rId27" Type="http://schemas.openxmlformats.org/officeDocument/2006/relationships/hyperlink" Target="https://www.co2.earth/historical-co2-datasets" TargetMode="External"/><Relationship Id="rId30" Type="http://schemas.openxmlformats.org/officeDocument/2006/relationships/hyperlink" Target="http://www.fao.org/faostat/en/" TargetMode="External"/><Relationship Id="rId35" Type="http://schemas.openxmlformats.org/officeDocument/2006/relationships/hyperlink" Target="http://www.fao.org/faostat/en/" TargetMode="External"/><Relationship Id="rId43" Type="http://schemas.openxmlformats.org/officeDocument/2006/relationships/hyperlink" Target="https://tntcat.iiasa.ac.at/SspDb/dsd?Action=htmlpage&amp;page=about" TargetMode="External"/><Relationship Id="rId48" Type="http://schemas.openxmlformats.org/officeDocument/2006/relationships/hyperlink" Target="https://tntcat.iiasa.ac.at/SspDb/dsd?Action=htmlpage&amp;page=40" TargetMode="External"/><Relationship Id="rId56" Type="http://schemas.openxmlformats.org/officeDocument/2006/relationships/hyperlink" Target="https://www.iea.org/data-and-statistics/?country=WORLD&amp;fuel=Renewables%20and%20waste&amp;indicator=Wind%20electricity%20generation" TargetMode="External"/><Relationship Id="rId8" Type="http://schemas.openxmlformats.org/officeDocument/2006/relationships/hyperlink" Target="http://hdr.undp.org/en/indicators/103006" TargetMode="External"/><Relationship Id="rId51"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s>
</file>

<file path=xl/worksheets/_rels/sheet3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hyperlink" Target="https://tntcat.iiasa.ac.at/SspDb/dsd?Action=htmlpage&amp;page=about" TargetMode="External"/><Relationship Id="rId2" Type="http://schemas.openxmlformats.org/officeDocument/2006/relationships/hyperlink" Target="https://tntcat.iiasa.ac.at/SspDb/dsd?Action=htmlpage&amp;page=about" TargetMode="External"/><Relationship Id="rId1" Type="http://schemas.openxmlformats.org/officeDocument/2006/relationships/hyperlink" Target="https://tntcat.iiasa.ac.at/SspDb/dsd?Action=htmlpage&amp;page=about" TargetMode="External"/><Relationship Id="rId6" Type="http://schemas.openxmlformats.org/officeDocument/2006/relationships/printerSettings" Target="../printerSettings/printerSettings32.bin"/><Relationship Id="rId5" Type="http://schemas.openxmlformats.org/officeDocument/2006/relationships/hyperlink" Target="https://tntcat.iiasa.ac.at/SspDb/dsd?Action=htmlpage&amp;page=about" TargetMode="External"/><Relationship Id="rId4" Type="http://schemas.openxmlformats.org/officeDocument/2006/relationships/hyperlink" Target="https://tntcat.iiasa.ac.at/SspDb/dsd?Action=htmlpage&amp;page=about"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8" Type="http://schemas.openxmlformats.org/officeDocument/2006/relationships/hyperlink" Target="http://hdr.undp.org/en/indicators/103006" TargetMode="External"/><Relationship Id="rId13" Type="http://schemas.openxmlformats.org/officeDocument/2006/relationships/hyperlink" Target="https://www.oecd-ilibrary.org/education/education-at-a-glance-2018/percentage-of-25-34-year-olds-with-tertiary-education-by-level-of-tertiary-education-2017_eag-2018-graph11-en" TargetMode="External"/><Relationship Id="rId18" Type="http://schemas.openxmlformats.org/officeDocument/2006/relationships/hyperlink" Target="https://www.climatewatchdata.org/ghg-emissions?breakBy=regions-PER_CAPITA&amp;gases=co-2&amp;regions=BRICS%2CEAP%2CEUU%2CLAC%2CLDC%2CMNA%2CNAR%2COECD%2CSIDS%2CSAR%2CWORLD%2CSSA&amp;sectors=agriculture&amp;source=PIK" TargetMode="External"/><Relationship Id="rId26" Type="http://schemas.openxmlformats.org/officeDocument/2006/relationships/hyperlink" Target="http://www.fao.org/faostat/en/" TargetMode="External"/><Relationship Id="rId3" Type="http://schemas.openxmlformats.org/officeDocument/2006/relationships/hyperlink" Target="https://data.worldbank.org/indicator/EG.FEC.RNEW.ZS?view=chart" TargetMode="External"/><Relationship Id="rId21" Type="http://schemas.openxmlformats.org/officeDocument/2006/relationships/hyperlink" Target="https://ourworldindata.org/renewable-energy" TargetMode="External"/><Relationship Id="rId34" Type="http://schemas.openxmlformats.org/officeDocument/2006/relationships/printerSettings" Target="../printerSettings/printerSettings45.bin"/><Relationship Id="rId7" Type="http://schemas.openxmlformats.org/officeDocument/2006/relationships/hyperlink" Target="http://hdr.undp.org/en/indicators/137506" TargetMode="External"/><Relationship Id="rId12" Type="http://schemas.openxmlformats.org/officeDocument/2006/relationships/hyperlink" Target="http://hdr.undp.org/en/indicators/186706" TargetMode="External"/><Relationship Id="rId17" Type="http://schemas.openxmlformats.org/officeDocument/2006/relationships/hyperlink" Target="https://www.climatewatchdata.org/ghg-emissions?breakBy=regions-PER_CAPITA&amp;gases=co-2&amp;regions=BRICS%2CEAP%2CEUU%2CLAC%2CLDC%2CMNA%2CNAR%2CSIDS%2CSAR%2CSSA%2CWORLD%2COECD&amp;sectors=energy" TargetMode="External"/><Relationship Id="rId25" Type="http://schemas.openxmlformats.org/officeDocument/2006/relationships/hyperlink" Target="http://www.fao.org/faostat/en/" TargetMode="External"/><Relationship Id="rId33" Type="http://schemas.openxmlformats.org/officeDocument/2006/relationships/hyperlink" Target="https://www.cbd.int/doc/publications/cbd-ts-31.pdf" TargetMode="External"/><Relationship Id="rId2" Type="http://schemas.openxmlformats.org/officeDocument/2006/relationships/hyperlink" Target="https://data.worldbank.org/indicator/AG.LND.FRST.ZS?view=chart" TargetMode="External"/><Relationship Id="rId16" Type="http://schemas.openxmlformats.org/officeDocument/2006/relationships/hyperlink" Target="https://www.climatewatchdata.org/ghg-emissions?breakBy=regions-PER_CAPITA&amp;gases=co-2&amp;sectors=land-use-change-and-forestry" TargetMode="External"/><Relationship Id="rId20" Type="http://schemas.openxmlformats.org/officeDocument/2006/relationships/hyperlink" Target="https://stats.oecd.org/" TargetMode="External"/><Relationship Id="rId29" Type="http://schemas.openxmlformats.org/officeDocument/2006/relationships/hyperlink" Target="https://www.co2.earth/historical-co2-datasets" TargetMode="External"/><Relationship Id="rId1" Type="http://schemas.openxmlformats.org/officeDocument/2006/relationships/hyperlink" Target="https://data.worldbank.org/indicator/AG.YLD.CREL.KG?most_recent_value_desc=false" TargetMode="External"/><Relationship Id="rId6" Type="http://schemas.openxmlformats.org/officeDocument/2006/relationships/hyperlink" Target="https://data.worldbank.org/indicator/SP.DYN.LE00.IN?view=chart" TargetMode="External"/><Relationship Id="rId11" Type="http://schemas.openxmlformats.org/officeDocument/2006/relationships/hyperlink" Target="http://hdr.undp.org/en/indicators/186606" TargetMode="External"/><Relationship Id="rId24" Type="http://schemas.openxmlformats.org/officeDocument/2006/relationships/hyperlink" Target="http://www.fao.org/faostat/en/" TargetMode="External"/><Relationship Id="rId32" Type="http://schemas.openxmlformats.org/officeDocument/2006/relationships/hyperlink" Target="https://www.ipcc.ch/site/assets/uploads/2018/02/WG1AR5_Chapter08_FINAL.pdf" TargetMode="External"/><Relationship Id="rId5" Type="http://schemas.openxmlformats.org/officeDocument/2006/relationships/hyperlink" Target="https://data.worldbank.org/indicator/SP.ADO.TFRT?view=chart" TargetMode="External"/><Relationship Id="rId15" Type="http://schemas.openxmlformats.org/officeDocument/2006/relationships/hyperlink" Target="http://data.uis.unesco.org/" TargetMode="External"/><Relationship Id="rId23" Type="http://schemas.openxmlformats.org/officeDocument/2006/relationships/hyperlink" Target="http://www.fao.org/faostat/en/" TargetMode="External"/><Relationship Id="rId28" Type="http://schemas.openxmlformats.org/officeDocument/2006/relationships/hyperlink" Target="https://data.giss.nasa.gov/gistemp/graphs_v3/" TargetMode="External"/><Relationship Id="rId10" Type="http://schemas.openxmlformats.org/officeDocument/2006/relationships/hyperlink" Target="http://hdr.undp.org/en/indicators/174306" TargetMode="External"/><Relationship Id="rId19" Type="http://schemas.openxmlformats.org/officeDocument/2006/relationships/hyperlink" Target="https://www.nature.com/articles/ngeo2635" TargetMode="External"/><Relationship Id="rId31" Type="http://schemas.openxmlformats.org/officeDocument/2006/relationships/hyperlink" Target="https://www.ipcc.ch/site/assets/uploads/2018/02/WG1AR5_Chapter08_FINAL.pdf" TargetMode="External"/><Relationship Id="rId4" Type="http://schemas.openxmlformats.org/officeDocument/2006/relationships/hyperlink" Target="https://data.worldbank.org/indicator/NY.GDP.PCAP.CD?view=chart" TargetMode="External"/><Relationship Id="rId9" Type="http://schemas.openxmlformats.org/officeDocument/2006/relationships/hyperlink" Target="http://hdr.undp.org/en/indicators/163906" TargetMode="External"/><Relationship Id="rId14" Type="http://schemas.openxmlformats.org/officeDocument/2006/relationships/hyperlink" Target="http://data.uis.unesco.org/" TargetMode="External"/><Relationship Id="rId22" Type="http://schemas.openxmlformats.org/officeDocument/2006/relationships/hyperlink" Target="https://data.worldbank.org/indicator/EG.EGY.PRIM.PP.KD" TargetMode="External"/><Relationship Id="rId27" Type="http://schemas.openxmlformats.org/officeDocument/2006/relationships/hyperlink" Target="http://www.fao.org/faostat/en/" TargetMode="External"/><Relationship Id="rId30" Type="http://schemas.openxmlformats.org/officeDocument/2006/relationships/hyperlink" Target="https://www.esrl.noaa.gov/gmd/ccgg/trends/global.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33" sqref="B33"/>
    </sheetView>
  </sheetViews>
  <sheetFormatPr defaultRowHeight="15" x14ac:dyDescent="0.25"/>
  <cols>
    <col min="1" max="1" width="18" style="1" customWidth="1"/>
    <col min="2" max="2" width="64.42578125" style="1" customWidth="1"/>
  </cols>
  <sheetData>
    <row r="1" spans="1:2" x14ac:dyDescent="0.25">
      <c r="A1" s="4" t="s">
        <v>8</v>
      </c>
      <c r="B1" s="4" t="s">
        <v>4</v>
      </c>
    </row>
    <row r="2" spans="1:2" x14ac:dyDescent="0.25">
      <c r="A2" s="650" t="s">
        <v>9</v>
      </c>
      <c r="B2" s="3" t="s">
        <v>147</v>
      </c>
    </row>
    <row r="3" spans="1:2" s="355" customFormat="1" x14ac:dyDescent="0.25">
      <c r="A3" s="652"/>
      <c r="B3" s="642" t="s">
        <v>1592</v>
      </c>
    </row>
    <row r="4" spans="1:2" x14ac:dyDescent="0.25">
      <c r="A4" s="652"/>
      <c r="B4" s="3" t="s">
        <v>148</v>
      </c>
    </row>
    <row r="5" spans="1:2" ht="15.75" customHeight="1" x14ac:dyDescent="0.25">
      <c r="A5" s="652"/>
      <c r="B5" s="3" t="s">
        <v>149</v>
      </c>
    </row>
    <row r="6" spans="1:2" x14ac:dyDescent="0.25">
      <c r="A6" s="652"/>
      <c r="B6" s="3" t="s">
        <v>150</v>
      </c>
    </row>
    <row r="7" spans="1:2" s="355" customFormat="1" x14ac:dyDescent="0.25">
      <c r="A7" s="651"/>
      <c r="B7" s="642" t="s">
        <v>1591</v>
      </c>
    </row>
    <row r="8" spans="1:2" x14ac:dyDescent="0.25">
      <c r="A8" s="5" t="s">
        <v>10</v>
      </c>
      <c r="B8" s="19" t="s">
        <v>19</v>
      </c>
    </row>
    <row r="9" spans="1:2" x14ac:dyDescent="0.25">
      <c r="A9" s="650" t="s">
        <v>11</v>
      </c>
      <c r="B9" s="19" t="s">
        <v>20</v>
      </c>
    </row>
    <row r="10" spans="1:2" s="355" customFormat="1" x14ac:dyDescent="0.25">
      <c r="A10" s="651"/>
      <c r="B10" s="642" t="s">
        <v>1586</v>
      </c>
    </row>
    <row r="11" spans="1:2" ht="15" customHeight="1" x14ac:dyDescent="0.25">
      <c r="A11" s="650" t="s">
        <v>13</v>
      </c>
      <c r="B11" s="3" t="s">
        <v>21</v>
      </c>
    </row>
    <row r="12" spans="1:2" x14ac:dyDescent="0.25">
      <c r="A12" s="652"/>
      <c r="B12" s="3" t="s">
        <v>22</v>
      </c>
    </row>
    <row r="13" spans="1:2" x14ac:dyDescent="0.25">
      <c r="A13" s="652"/>
      <c r="B13" s="3" t="s">
        <v>23</v>
      </c>
    </row>
    <row r="14" spans="1:2" s="355" customFormat="1" x14ac:dyDescent="0.25">
      <c r="A14" s="651"/>
      <c r="B14" s="642" t="s">
        <v>1593</v>
      </c>
    </row>
    <row r="15" spans="1:2" ht="15" customHeight="1" x14ac:dyDescent="0.25">
      <c r="A15" s="650" t="s">
        <v>14</v>
      </c>
      <c r="B15" s="3" t="s">
        <v>24</v>
      </c>
    </row>
    <row r="16" spans="1:2" x14ac:dyDescent="0.25">
      <c r="A16" s="652"/>
      <c r="B16" s="3" t="s">
        <v>25</v>
      </c>
    </row>
    <row r="17" spans="1:2" x14ac:dyDescent="0.25">
      <c r="A17" s="652"/>
      <c r="B17" s="3" t="s">
        <v>26</v>
      </c>
    </row>
    <row r="18" spans="1:2" s="355" customFormat="1" x14ac:dyDescent="0.25">
      <c r="A18" s="651"/>
      <c r="B18" s="642" t="s">
        <v>1594</v>
      </c>
    </row>
    <row r="19" spans="1:2" x14ac:dyDescent="0.25">
      <c r="A19" s="649" t="s">
        <v>15</v>
      </c>
      <c r="B19" s="3" t="s">
        <v>27</v>
      </c>
    </row>
    <row r="20" spans="1:2" x14ac:dyDescent="0.25">
      <c r="A20" s="649"/>
      <c r="B20" s="3" t="s">
        <v>28</v>
      </c>
    </row>
    <row r="21" spans="1:2" s="11" customFormat="1" x14ac:dyDescent="0.25">
      <c r="A21" s="649"/>
      <c r="B21" s="3" t="s">
        <v>29</v>
      </c>
    </row>
    <row r="22" spans="1:2" s="355" customFormat="1" x14ac:dyDescent="0.25">
      <c r="A22" s="649"/>
      <c r="B22" s="642" t="s">
        <v>1596</v>
      </c>
    </row>
    <row r="23" spans="1:2" s="355" customFormat="1" x14ac:dyDescent="0.25">
      <c r="A23" s="649"/>
      <c r="B23" s="642" t="s">
        <v>1595</v>
      </c>
    </row>
    <row r="24" spans="1:2" x14ac:dyDescent="0.25">
      <c r="A24" s="649"/>
      <c r="B24" s="3" t="s">
        <v>146</v>
      </c>
    </row>
    <row r="25" spans="1:2" x14ac:dyDescent="0.25">
      <c r="A25" s="650" t="s">
        <v>1597</v>
      </c>
      <c r="B25" s="3" t="s">
        <v>32</v>
      </c>
    </row>
    <row r="26" spans="1:2" x14ac:dyDescent="0.25">
      <c r="A26" s="652"/>
      <c r="B26" s="19" t="s">
        <v>30</v>
      </c>
    </row>
    <row r="27" spans="1:2" s="355" customFormat="1" x14ac:dyDescent="0.25">
      <c r="A27" s="652"/>
      <c r="B27" s="642" t="s">
        <v>1598</v>
      </c>
    </row>
    <row r="28" spans="1:2" s="355" customFormat="1" x14ac:dyDescent="0.25">
      <c r="A28" s="652"/>
      <c r="B28" s="642" t="s">
        <v>1587</v>
      </c>
    </row>
    <row r="29" spans="1:2" s="355" customFormat="1" x14ac:dyDescent="0.25">
      <c r="A29" s="651"/>
      <c r="B29" s="642" t="s">
        <v>1588</v>
      </c>
    </row>
    <row r="30" spans="1:2" s="355" customFormat="1" x14ac:dyDescent="0.25">
      <c r="A30" s="650" t="s">
        <v>1523</v>
      </c>
      <c r="B30" s="642" t="s">
        <v>1589</v>
      </c>
    </row>
    <row r="31" spans="1:2" s="355" customFormat="1" x14ac:dyDescent="0.25">
      <c r="A31" s="652"/>
      <c r="B31" s="642" t="s">
        <v>1590</v>
      </c>
    </row>
    <row r="32" spans="1:2" s="355" customFormat="1" x14ac:dyDescent="0.25">
      <c r="A32" s="651"/>
      <c r="B32" s="642" t="s">
        <v>1599</v>
      </c>
    </row>
    <row r="33" spans="1:2" x14ac:dyDescent="0.25">
      <c r="A33" s="649" t="s">
        <v>18</v>
      </c>
      <c r="B33" s="19" t="s">
        <v>31</v>
      </c>
    </row>
    <row r="34" spans="1:2" s="308" customFormat="1" x14ac:dyDescent="0.25">
      <c r="A34" s="649"/>
      <c r="B34" s="3" t="s">
        <v>505</v>
      </c>
    </row>
    <row r="35" spans="1:2" x14ac:dyDescent="0.25">
      <c r="A35" s="649"/>
      <c r="B35" s="19" t="s">
        <v>151</v>
      </c>
    </row>
  </sheetData>
  <mergeCells count="8">
    <mergeCell ref="A33:A35"/>
    <mergeCell ref="A19:A24"/>
    <mergeCell ref="A9:A10"/>
    <mergeCell ref="A25:A29"/>
    <mergeCell ref="A2:A7"/>
    <mergeCell ref="A11:A14"/>
    <mergeCell ref="A15:A18"/>
    <mergeCell ref="A30:A32"/>
  </mergeCells>
  <pageMargins left="0.7" right="0.7" top="0.75" bottom="0.75" header="0.3" footer="0.3"/>
  <pageSetup paperSize="9"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zoomScale="60" zoomScaleNormal="60" workbookViewId="0">
      <pane xSplit="3" ySplit="1" topLeftCell="D20" activePane="bottomRight" state="frozen"/>
      <selection pane="topRight" activeCell="C1" sqref="C1"/>
      <selection pane="bottomLeft" activeCell="A2" sqref="A2"/>
      <selection pane="bottomRight" activeCell="C2" sqref="A2:XFD2"/>
    </sheetView>
  </sheetViews>
  <sheetFormatPr defaultColWidth="9" defaultRowHeight="14.25" x14ac:dyDescent="0.2"/>
  <cols>
    <col min="1" max="1" width="17.7109375" style="58" customWidth="1"/>
    <col min="2" max="2" width="14.28515625" style="58" customWidth="1"/>
    <col min="3" max="3" width="77.5703125" style="55" bestFit="1" customWidth="1"/>
    <col min="4" max="4" width="16" style="55" hidden="1" customWidth="1"/>
    <col min="5" max="5" width="25.85546875" style="623" customWidth="1"/>
    <col min="6" max="6" width="25.5703125" style="623" customWidth="1"/>
    <col min="7" max="7" width="27.5703125" style="623" customWidth="1"/>
    <col min="8" max="8" width="25.85546875" style="623" customWidth="1"/>
    <col min="9" max="9" width="30.140625" style="623" customWidth="1"/>
    <col min="10" max="11" width="26.5703125" style="55" customWidth="1"/>
    <col min="12" max="12" width="25.140625" style="55" customWidth="1"/>
    <col min="13" max="13" width="19.85546875" style="55" customWidth="1"/>
    <col min="14" max="14" width="27.28515625" style="55" customWidth="1"/>
    <col min="15" max="15" width="31.140625" style="55" customWidth="1"/>
    <col min="16" max="16384" width="9" style="55"/>
  </cols>
  <sheetData>
    <row r="1" spans="1:14" s="593" customFormat="1" ht="123" customHeight="1" x14ac:dyDescent="0.2">
      <c r="A1" s="592"/>
      <c r="B1" s="592"/>
      <c r="C1" s="592" t="s">
        <v>190</v>
      </c>
      <c r="D1" s="592" t="s">
        <v>1532</v>
      </c>
      <c r="E1" s="58" t="s">
        <v>136</v>
      </c>
      <c r="F1" s="58" t="s">
        <v>137</v>
      </c>
      <c r="G1" s="58" t="s">
        <v>138</v>
      </c>
      <c r="H1" s="592" t="s">
        <v>139</v>
      </c>
      <c r="I1" s="58" t="s">
        <v>140</v>
      </c>
      <c r="J1" s="58" t="s">
        <v>1439</v>
      </c>
      <c r="K1" s="58"/>
      <c r="L1" s="58" t="s">
        <v>1440</v>
      </c>
    </row>
    <row r="2" spans="1:14" x14ac:dyDescent="0.2">
      <c r="A2" s="661"/>
      <c r="B2" s="662"/>
      <c r="C2" s="607" t="s">
        <v>7</v>
      </c>
      <c r="D2" s="552">
        <v>0.51500000000000001</v>
      </c>
      <c r="E2" s="598">
        <v>0.38624999999999998</v>
      </c>
      <c r="F2" s="598">
        <v>0.46887200000000001</v>
      </c>
      <c r="G2" s="598">
        <v>0.53737000000000001</v>
      </c>
      <c r="H2" s="598">
        <v>0.56987500000000002</v>
      </c>
      <c r="I2" s="598">
        <v>0.38624999999999998</v>
      </c>
      <c r="J2" s="598"/>
      <c r="K2" s="598"/>
      <c r="L2" s="598"/>
      <c r="M2" s="598"/>
      <c r="N2" s="598"/>
    </row>
    <row r="3" spans="1:14" x14ac:dyDescent="0.2">
      <c r="A3" s="661"/>
      <c r="B3" s="662"/>
      <c r="C3" s="552" t="s">
        <v>6</v>
      </c>
      <c r="D3" s="552">
        <v>12</v>
      </c>
      <c r="E3" s="598">
        <v>9.3894199999999994</v>
      </c>
      <c r="F3" s="598">
        <v>11.492900000000001</v>
      </c>
      <c r="G3" s="598">
        <v>15</v>
      </c>
      <c r="H3" s="598">
        <v>11.181800000000001</v>
      </c>
      <c r="I3" s="598">
        <v>10.757199999999999</v>
      </c>
      <c r="J3" s="598"/>
      <c r="K3" s="598"/>
      <c r="L3" s="598"/>
      <c r="M3" s="598"/>
      <c r="N3" s="598"/>
    </row>
    <row r="4" spans="1:14" x14ac:dyDescent="0.2">
      <c r="A4" s="661"/>
      <c r="B4" s="662"/>
      <c r="C4" s="552" t="s">
        <v>5</v>
      </c>
      <c r="D4" s="552">
        <v>28</v>
      </c>
      <c r="E4" s="598">
        <v>28.935600000000001</v>
      </c>
      <c r="F4" s="598">
        <v>27.105799999999999</v>
      </c>
      <c r="G4" s="598">
        <v>22.505299999999998</v>
      </c>
      <c r="H4" s="598">
        <v>25.923200000000001</v>
      </c>
      <c r="I4" s="598">
        <v>28.114000000000001</v>
      </c>
      <c r="J4" s="598"/>
      <c r="K4" s="598"/>
      <c r="L4" s="598"/>
      <c r="M4" s="598"/>
      <c r="N4" s="598"/>
    </row>
    <row r="5" spans="1:14" s="582" customFormat="1" x14ac:dyDescent="0.2">
      <c r="A5" s="661"/>
      <c r="B5" s="661"/>
      <c r="C5" s="552" t="s">
        <v>33</v>
      </c>
      <c r="D5" s="553">
        <v>0</v>
      </c>
      <c r="E5" s="553">
        <v>-8.4299400000000003E-3</v>
      </c>
      <c r="F5" s="553">
        <v>-8.4708500000000003E-3</v>
      </c>
      <c r="G5" s="553">
        <v>3.4964000000000002E-3</v>
      </c>
      <c r="H5" s="553">
        <v>3.4978600000000002E-3</v>
      </c>
      <c r="I5" s="553">
        <v>-8.5000000000000006E-3</v>
      </c>
      <c r="J5" s="598"/>
      <c r="K5" s="598"/>
      <c r="L5" s="598"/>
      <c r="M5" s="598"/>
      <c r="N5" s="598"/>
    </row>
    <row r="6" spans="1:14" s="582" customFormat="1" x14ac:dyDescent="0.2">
      <c r="A6" s="661"/>
      <c r="B6" s="661"/>
      <c r="C6" s="552" t="s">
        <v>34</v>
      </c>
      <c r="D6" s="553">
        <v>0</v>
      </c>
      <c r="E6" s="553">
        <v>-8.4945999999999997E-3</v>
      </c>
      <c r="F6" s="553">
        <v>-8.4963999999999994E-3</v>
      </c>
      <c r="G6" s="553">
        <v>3.4964000000000002E-3</v>
      </c>
      <c r="H6" s="553">
        <v>3.5000000000000001E-3</v>
      </c>
      <c r="I6" s="553">
        <v>-8.5000000000000006E-3</v>
      </c>
      <c r="J6" s="598"/>
      <c r="K6" s="598"/>
      <c r="L6" s="598"/>
      <c r="M6" s="598"/>
      <c r="N6" s="598"/>
    </row>
    <row r="7" spans="1:14" s="582" customFormat="1" x14ac:dyDescent="0.2">
      <c r="A7" s="661"/>
      <c r="B7" s="661"/>
      <c r="C7" s="552" t="s">
        <v>35</v>
      </c>
      <c r="D7" s="553">
        <v>0.01</v>
      </c>
      <c r="E7" s="553">
        <v>8.2838900000000004E-3</v>
      </c>
      <c r="F7" s="553">
        <v>1.79196E-3</v>
      </c>
      <c r="G7" s="553">
        <v>-3.8629599999999999E-3</v>
      </c>
      <c r="H7" s="553">
        <v>-2.8030199999999998E-3</v>
      </c>
      <c r="I7" s="553">
        <v>0.01</v>
      </c>
      <c r="J7" s="598"/>
      <c r="K7" s="598"/>
      <c r="L7" s="598"/>
      <c r="M7" s="598"/>
      <c r="N7" s="598"/>
    </row>
    <row r="8" spans="1:14" x14ac:dyDescent="0.2">
      <c r="A8" s="661"/>
      <c r="B8" s="661"/>
      <c r="C8" s="552" t="s">
        <v>36</v>
      </c>
      <c r="D8" s="553">
        <v>5.0000000000000001E-3</v>
      </c>
      <c r="E8" s="553">
        <v>3.8922399999999999E-3</v>
      </c>
      <c r="F8" s="553">
        <v>4.8892700000000002E-3</v>
      </c>
      <c r="G8" s="553">
        <v>-4.3786500000000004E-3</v>
      </c>
      <c r="H8" s="553">
        <v>-3.3459700000000002E-3</v>
      </c>
      <c r="I8" s="553">
        <v>4.98235E-3</v>
      </c>
      <c r="J8" s="598"/>
      <c r="K8" s="598"/>
      <c r="L8" s="598"/>
      <c r="M8" s="598"/>
      <c r="N8" s="598"/>
    </row>
    <row r="9" spans="1:14" s="582" customFormat="1" x14ac:dyDescent="0.2">
      <c r="A9" s="661"/>
      <c r="B9" s="661"/>
      <c r="C9" s="552" t="s">
        <v>1534</v>
      </c>
      <c r="D9" s="553">
        <v>0.6</v>
      </c>
      <c r="E9" s="553">
        <v>0.60223800000000005</v>
      </c>
      <c r="F9" s="553">
        <v>0.65551800000000005</v>
      </c>
      <c r="G9" s="553">
        <v>0.464532</v>
      </c>
      <c r="H9" s="553">
        <v>0.42388199999999998</v>
      </c>
      <c r="I9" s="553">
        <v>0.59101199999999998</v>
      </c>
      <c r="J9" s="598"/>
      <c r="K9" s="598"/>
      <c r="L9" s="598"/>
      <c r="M9" s="598"/>
      <c r="N9" s="598"/>
    </row>
    <row r="10" spans="1:14" x14ac:dyDescent="0.2">
      <c r="A10" s="661"/>
      <c r="B10" s="661"/>
      <c r="C10" s="552" t="s">
        <v>37</v>
      </c>
      <c r="D10" s="553">
        <v>0</v>
      </c>
      <c r="E10" s="553">
        <v>7.0000000000000001E-3</v>
      </c>
      <c r="F10" s="553">
        <v>7.0000000000000001E-3</v>
      </c>
      <c r="G10" s="553">
        <v>-8.82429E-4</v>
      </c>
      <c r="H10" s="553">
        <v>7.0000000000000001E-3</v>
      </c>
      <c r="I10" s="553">
        <v>7.0000000000000001E-3</v>
      </c>
      <c r="J10" s="598"/>
      <c r="K10" s="598"/>
      <c r="L10" s="598"/>
      <c r="M10" s="598"/>
      <c r="N10" s="598"/>
    </row>
    <row r="11" spans="1:14" x14ac:dyDescent="0.2">
      <c r="A11" s="661"/>
      <c r="B11" s="661"/>
      <c r="C11" s="552" t="s">
        <v>38</v>
      </c>
      <c r="D11" s="553">
        <v>0</v>
      </c>
      <c r="E11" s="553">
        <v>5.0000000000000001E-3</v>
      </c>
      <c r="F11" s="553">
        <v>2.4827400000000002E-3</v>
      </c>
      <c r="G11" s="553">
        <v>-1E-3</v>
      </c>
      <c r="H11" s="553">
        <v>3.8262399999999998E-3</v>
      </c>
      <c r="I11" s="553">
        <v>5.0000000000000001E-3</v>
      </c>
      <c r="J11" s="598"/>
      <c r="K11" s="598"/>
      <c r="L11" s="598"/>
      <c r="M11" s="598"/>
      <c r="N11" s="598"/>
    </row>
    <row r="12" spans="1:14" s="582" customFormat="1" x14ac:dyDescent="0.2">
      <c r="A12" s="661"/>
      <c r="B12" s="661"/>
      <c r="C12" s="552" t="s">
        <v>1533</v>
      </c>
      <c r="D12" s="553">
        <v>0.77</v>
      </c>
      <c r="E12" s="553">
        <v>0.79222000000000004</v>
      </c>
      <c r="F12" s="553">
        <v>0.50268699999999999</v>
      </c>
      <c r="G12" s="553">
        <v>0.38500000000000001</v>
      </c>
      <c r="H12" s="553">
        <v>0.38500000000000001</v>
      </c>
      <c r="I12" s="553">
        <v>0.81733199999999995</v>
      </c>
      <c r="J12" s="598"/>
      <c r="K12" s="598"/>
      <c r="L12" s="598"/>
      <c r="M12" s="598"/>
      <c r="N12" s="598"/>
    </row>
    <row r="13" spans="1:14" s="582" customFormat="1" x14ac:dyDescent="0.2">
      <c r="A13" s="661"/>
      <c r="B13" s="662"/>
      <c r="C13" s="552" t="s">
        <v>39</v>
      </c>
      <c r="D13" s="552">
        <v>0.42499999999999999</v>
      </c>
      <c r="E13" s="598">
        <v>0.47792200000000001</v>
      </c>
      <c r="F13" s="598">
        <v>0.44716499999999998</v>
      </c>
      <c r="G13" s="598">
        <v>0.32067899999999999</v>
      </c>
      <c r="H13" s="598">
        <v>0.35711199999999999</v>
      </c>
      <c r="I13" s="598">
        <v>0.55308400000000002</v>
      </c>
      <c r="J13" s="600"/>
      <c r="K13" s="598"/>
      <c r="L13" s="598"/>
      <c r="M13" s="598"/>
    </row>
    <row r="14" spans="1:14" s="582" customFormat="1" x14ac:dyDescent="0.2">
      <c r="A14" s="661"/>
      <c r="B14" s="662"/>
      <c r="C14" s="552" t="s">
        <v>40</v>
      </c>
      <c r="D14" s="552">
        <v>0.75</v>
      </c>
      <c r="E14" s="598">
        <v>0.81459199999999998</v>
      </c>
      <c r="F14" s="598">
        <v>0.72691600000000001</v>
      </c>
      <c r="G14" s="598">
        <v>0.70688700000000004</v>
      </c>
      <c r="H14" s="598">
        <v>0.93744499999999997</v>
      </c>
      <c r="I14" s="598">
        <v>0.920655</v>
      </c>
      <c r="J14" s="598"/>
      <c r="K14" s="598"/>
      <c r="L14" s="598"/>
      <c r="M14" s="598"/>
    </row>
    <row r="15" spans="1:14" s="582" customFormat="1" x14ac:dyDescent="0.2">
      <c r="A15" s="661"/>
      <c r="B15" s="662"/>
      <c r="C15" s="622" t="s">
        <v>97</v>
      </c>
      <c r="D15" s="622">
        <v>1.25</v>
      </c>
      <c r="E15" s="598">
        <f>$D15+$D15*SSP_parameters_assumptions!E22</f>
        <v>1.125</v>
      </c>
      <c r="F15" s="598">
        <f>$D15+$D15*SSP_parameters_assumptions!F22</f>
        <v>1.25</v>
      </c>
      <c r="G15" s="598">
        <f>$D15+$D15*SSP_parameters_assumptions!G22</f>
        <v>0.9375</v>
      </c>
      <c r="H15" s="598">
        <f>$D15+$D15*SSP_parameters_assumptions!H22</f>
        <v>1.3125</v>
      </c>
      <c r="I15" s="598">
        <f>$D15+$D15*SSP_parameters_assumptions!I22</f>
        <v>1.875</v>
      </c>
      <c r="J15" s="598"/>
      <c r="K15" s="598"/>
      <c r="L15" s="598"/>
      <c r="M15" s="598"/>
    </row>
    <row r="16" spans="1:14" x14ac:dyDescent="0.2">
      <c r="A16" s="661"/>
      <c r="B16" s="662"/>
      <c r="C16" s="601" t="s">
        <v>98</v>
      </c>
      <c r="D16" s="622">
        <v>5</v>
      </c>
      <c r="E16" s="598">
        <f>$D16+$D16*SSP_parameters_assumptions!E23</f>
        <v>5.5</v>
      </c>
      <c r="F16" s="598">
        <f>$D16+$D16*SSP_parameters_assumptions!F23</f>
        <v>5</v>
      </c>
      <c r="G16" s="598">
        <f>$D16+$D16*SSP_parameters_assumptions!G23</f>
        <v>6.25</v>
      </c>
      <c r="H16" s="598">
        <f>$D16+$D16*SSP_parameters_assumptions!H23</f>
        <v>4.75</v>
      </c>
      <c r="I16" s="598">
        <f>$D16+$D16*SSP_parameters_assumptions!I23</f>
        <v>2.5</v>
      </c>
      <c r="J16" s="598"/>
      <c r="K16" s="598"/>
      <c r="L16" s="598"/>
      <c r="M16" s="598"/>
    </row>
    <row r="17" spans="1:13" ht="14.25" customHeight="1" x14ac:dyDescent="0.2">
      <c r="A17" s="661"/>
      <c r="B17" s="661"/>
      <c r="C17" s="622" t="s">
        <v>44</v>
      </c>
      <c r="D17" s="622">
        <v>1.9999999999999999E-6</v>
      </c>
      <c r="E17" s="598">
        <f>$D17+$D17*SSP_parameters_assumptions!E31</f>
        <v>1.3999999999999999E-6</v>
      </c>
      <c r="F17" s="598">
        <f>$D17+$D17*SSP_parameters_assumptions!F31</f>
        <v>1.9999999999999999E-6</v>
      </c>
      <c r="G17" s="598">
        <f>$D17+$D17*SSP_parameters_assumptions!G31</f>
        <v>1.9E-6</v>
      </c>
      <c r="H17" s="598">
        <f>$D17+$D17*SSP_parameters_assumptions!H31</f>
        <v>1.84E-6</v>
      </c>
      <c r="I17" s="598">
        <f>$D17+$D17*SSP_parameters_assumptions!I31</f>
        <v>3.1999999999999999E-6</v>
      </c>
      <c r="J17" s="604"/>
      <c r="K17" s="604"/>
      <c r="L17" s="604"/>
      <c r="M17" s="604"/>
    </row>
    <row r="18" spans="1:13" x14ac:dyDescent="0.2">
      <c r="A18" s="661"/>
      <c r="B18" s="661"/>
      <c r="C18" s="552" t="s">
        <v>45</v>
      </c>
      <c r="D18" s="552">
        <v>0.6</v>
      </c>
      <c r="E18" s="598">
        <f>$D18+$D18*SSP_parameters_assumptions!E32</f>
        <v>0.44999999999999996</v>
      </c>
      <c r="F18" s="598">
        <f>$D18+$D18*SSP_parameters_assumptions!F32</f>
        <v>0.6</v>
      </c>
      <c r="G18" s="616">
        <v>1</v>
      </c>
      <c r="H18" s="598">
        <f>$D18+$D18*SSP_parameters_assumptions!H32</f>
        <v>0.78</v>
      </c>
      <c r="I18" s="598">
        <f>$D18+$D18*SSP_parameters_assumptions!I32</f>
        <v>0.63</v>
      </c>
      <c r="J18" s="604"/>
      <c r="K18" s="604"/>
      <c r="L18" s="604"/>
      <c r="M18" s="604"/>
    </row>
    <row r="19" spans="1:13" x14ac:dyDescent="0.2">
      <c r="A19" s="661"/>
      <c r="B19" s="661"/>
      <c r="C19" s="552" t="s">
        <v>46</v>
      </c>
      <c r="D19" s="552">
        <v>0.54</v>
      </c>
      <c r="E19" s="598">
        <f>$D19+$D19*SSP_parameters_assumptions!E33</f>
        <v>0.94500000000000006</v>
      </c>
      <c r="F19" s="598">
        <f>$D19+$D19*SSP_parameters_assumptions!F33</f>
        <v>0.54</v>
      </c>
      <c r="G19" s="616">
        <v>0.63749999999999996</v>
      </c>
      <c r="H19" s="598">
        <f>$D19+$D19*SSP_parameters_assumptions!H33</f>
        <v>0.70200000000000007</v>
      </c>
      <c r="I19" s="598">
        <f>$D19+$D19*SSP_parameters_assumptions!I33</f>
        <v>0.64800000000000002</v>
      </c>
      <c r="J19" s="604"/>
      <c r="K19" s="604"/>
      <c r="L19" s="604"/>
      <c r="M19" s="604"/>
    </row>
    <row r="20" spans="1:13" x14ac:dyDescent="0.2">
      <c r="A20" s="661"/>
      <c r="B20" s="661"/>
      <c r="C20" s="552" t="s">
        <v>47</v>
      </c>
      <c r="D20" s="552">
        <v>0.89</v>
      </c>
      <c r="E20" s="598">
        <f>$D20+$D20*SSP_parameters_assumptions!E34</f>
        <v>0.80100000000000005</v>
      </c>
      <c r="F20" s="598">
        <f>$D20+$D20*SSP_parameters_assumptions!F34</f>
        <v>0.89</v>
      </c>
      <c r="G20" s="616">
        <v>1.25</v>
      </c>
      <c r="H20" s="598">
        <f>$D20+$D20*SSP_parameters_assumptions!H34</f>
        <v>0.84550000000000003</v>
      </c>
      <c r="I20" s="598">
        <f>$D20+$D20*SSP_parameters_assumptions!I34</f>
        <v>1.1125</v>
      </c>
      <c r="J20" s="604"/>
      <c r="K20" s="604"/>
      <c r="L20" s="604"/>
      <c r="M20" s="604"/>
    </row>
    <row r="21" spans="1:13" x14ac:dyDescent="0.2">
      <c r="A21" s="661"/>
      <c r="B21" s="661"/>
      <c r="C21" s="552" t="s">
        <v>48</v>
      </c>
      <c r="D21" s="552">
        <v>1</v>
      </c>
      <c r="E21" s="598">
        <f>$D21+$D21*SSP_parameters_assumptions!E35</f>
        <v>1.25</v>
      </c>
      <c r="F21" s="598">
        <f>$D21+$D21*SSP_parameters_assumptions!F35</f>
        <v>1</v>
      </c>
      <c r="G21" s="598">
        <f>$D21+$D21*SSP_parameters_assumptions!G35</f>
        <v>0.5</v>
      </c>
      <c r="H21" s="598">
        <f>$D21+$D21*SSP_parameters_assumptions!H35</f>
        <v>0.8</v>
      </c>
      <c r="I21" s="598">
        <f>$D21+$D21*SSP_parameters_assumptions!I35</f>
        <v>1</v>
      </c>
      <c r="J21" s="604"/>
      <c r="K21" s="604"/>
      <c r="L21" s="604"/>
      <c r="M21" s="604"/>
    </row>
    <row r="22" spans="1:13" x14ac:dyDescent="0.2">
      <c r="A22" s="661"/>
      <c r="B22" s="661"/>
      <c r="C22" s="552" t="s">
        <v>49</v>
      </c>
      <c r="D22" s="552">
        <v>0.8</v>
      </c>
      <c r="E22" s="598">
        <f>$D22+$D22*SSP_parameters_assumptions!E36</f>
        <v>0.8</v>
      </c>
      <c r="F22" s="598">
        <f>$D22+$D22*SSP_parameters_assumptions!F36</f>
        <v>0.8</v>
      </c>
      <c r="G22" s="598">
        <f>$D22+$D22*SSP_parameters_assumptions!G36</f>
        <v>1.2000000000000002</v>
      </c>
      <c r="H22" s="598">
        <f>$D22+$D22*SSP_parameters_assumptions!H36</f>
        <v>0.96000000000000008</v>
      </c>
      <c r="I22" s="598">
        <f>$D22+$D22*SSP_parameters_assumptions!I36</f>
        <v>0.84000000000000008</v>
      </c>
      <c r="J22" s="604"/>
      <c r="K22" s="604"/>
      <c r="L22" s="604"/>
      <c r="M22" s="604"/>
    </row>
    <row r="23" spans="1:13" ht="14.25" customHeight="1" x14ac:dyDescent="0.2">
      <c r="A23" s="661"/>
      <c r="B23" s="662" t="s">
        <v>394</v>
      </c>
      <c r="C23" s="552" t="s">
        <v>50</v>
      </c>
      <c r="D23" s="552">
        <v>1</v>
      </c>
      <c r="E23" s="598">
        <f>$D23+$D23*SSP_parameters_assumptions!E37</f>
        <v>0.9</v>
      </c>
      <c r="F23" s="598">
        <f>$D23+$D23*SSP_parameters_assumptions!F37</f>
        <v>1</v>
      </c>
      <c r="G23" s="598">
        <f>$D23+$D23*SSP_parameters_assumptions!G37</f>
        <v>1.1000000000000001</v>
      </c>
      <c r="H23" s="598">
        <f>$D23+$D23*SSP_parameters_assumptions!H37</f>
        <v>1.25</v>
      </c>
      <c r="I23" s="598">
        <f>$D23+$D23*SSP_parameters_assumptions!I37</f>
        <v>1.3</v>
      </c>
      <c r="J23" s="604"/>
      <c r="K23" s="604"/>
      <c r="L23" s="604"/>
      <c r="M23" s="604"/>
    </row>
    <row r="24" spans="1:13" x14ac:dyDescent="0.2">
      <c r="A24" s="661"/>
      <c r="B24" s="662"/>
      <c r="C24" s="582" t="s">
        <v>1492</v>
      </c>
      <c r="D24" s="552">
        <v>8</v>
      </c>
      <c r="E24" s="598">
        <f>$D24+$D24*SSP_parameters_assumptions!E38</f>
        <v>26</v>
      </c>
      <c r="F24" s="598">
        <f>$D24+$D24*SSP_parameters_assumptions!F38</f>
        <v>8</v>
      </c>
      <c r="G24" s="616">
        <v>1</v>
      </c>
      <c r="H24" s="598">
        <f>$D24+$D24*SSP_parameters_assumptions!H38</f>
        <v>12</v>
      </c>
      <c r="I24" s="598">
        <f>$D24+$D24*SSP_parameters_assumptions!I38</f>
        <v>9.6</v>
      </c>
      <c r="J24" s="604"/>
      <c r="K24" s="604"/>
      <c r="L24" s="604"/>
      <c r="M24" s="604"/>
    </row>
    <row r="25" spans="1:13" x14ac:dyDescent="0.2">
      <c r="A25" s="661"/>
      <c r="B25" s="662"/>
      <c r="C25" s="582" t="s">
        <v>1493</v>
      </c>
      <c r="D25" s="552">
        <v>6</v>
      </c>
      <c r="E25" s="598">
        <f>$D25+$D25*SSP_parameters_assumptions!E39</f>
        <v>9</v>
      </c>
      <c r="F25" s="598">
        <f>$D25+$D25*SSP_parameters_assumptions!F39</f>
        <v>6</v>
      </c>
      <c r="G25" s="616">
        <v>1</v>
      </c>
      <c r="H25" s="598">
        <f>$D25+$D25*SSP_parameters_assumptions!H39</f>
        <v>6</v>
      </c>
      <c r="I25" s="598">
        <f>$D25+$D25*SSP_parameters_assumptions!I39</f>
        <v>5.7</v>
      </c>
      <c r="J25" s="604"/>
      <c r="K25" s="604"/>
      <c r="L25" s="604"/>
      <c r="M25" s="604"/>
    </row>
    <row r="26" spans="1:13" s="582" customFormat="1" x14ac:dyDescent="0.2">
      <c r="A26" s="661"/>
      <c r="B26" s="662"/>
      <c r="C26" s="582" t="s">
        <v>1494</v>
      </c>
      <c r="D26" s="552">
        <v>3.25</v>
      </c>
      <c r="E26" s="598">
        <f>$D26+$D26*SSP_parameters_assumptions!E40</f>
        <v>11.375</v>
      </c>
      <c r="F26" s="598">
        <f>$D26+$D26*SSP_parameters_assumptions!F40</f>
        <v>3.25</v>
      </c>
      <c r="G26" s="598">
        <f>$D26+$D26*SSP_parameters_assumptions!G40</f>
        <v>13</v>
      </c>
      <c r="H26" s="598">
        <f>$D26+$D26*SSP_parameters_assumptions!H40</f>
        <v>8.125</v>
      </c>
      <c r="I26" s="598">
        <f>$D26+$D26*SSP_parameters_assumptions!I40</f>
        <v>4.0625</v>
      </c>
      <c r="J26" s="605"/>
      <c r="K26" s="605"/>
      <c r="L26" s="605"/>
      <c r="M26" s="605"/>
    </row>
    <row r="27" spans="1:13" s="582" customFormat="1" ht="14.25" customHeight="1" x14ac:dyDescent="0.2">
      <c r="A27" s="661" t="s">
        <v>1552</v>
      </c>
      <c r="B27" s="661" t="s">
        <v>1551</v>
      </c>
      <c r="C27" s="582" t="s">
        <v>84</v>
      </c>
      <c r="D27" s="617">
        <v>10</v>
      </c>
      <c r="E27" s="598">
        <f>$D27+$D27*SSP_parameters_assumptions!E41</f>
        <v>10</v>
      </c>
      <c r="F27" s="598">
        <f>$D27+$D27*SSP_parameters_assumptions!F41</f>
        <v>10</v>
      </c>
      <c r="G27" s="598">
        <f>$D27+$D27*SSP_parameters_assumptions!G41</f>
        <v>10</v>
      </c>
      <c r="H27" s="598">
        <f>$D27+$D27*SSP_parameters_assumptions!H41</f>
        <v>10</v>
      </c>
      <c r="I27" s="598">
        <f>$D27+$D27*SSP_parameters_assumptions!I41</f>
        <v>10</v>
      </c>
      <c r="J27" s="605"/>
      <c r="K27" s="605"/>
      <c r="L27" s="605"/>
      <c r="M27" s="605"/>
    </row>
    <row r="28" spans="1:13" s="582" customFormat="1" ht="14.25" customHeight="1" x14ac:dyDescent="0.2">
      <c r="A28" s="661"/>
      <c r="B28" s="661"/>
      <c r="C28" s="582" t="s">
        <v>70</v>
      </c>
      <c r="D28" s="552">
        <v>1</v>
      </c>
      <c r="E28" s="598">
        <f>$D28+$D28*SSP_parameters_assumptions!E42</f>
        <v>0.5</v>
      </c>
      <c r="F28" s="598">
        <f>$D28+$D28*SSP_parameters_assumptions!F42</f>
        <v>1</v>
      </c>
      <c r="G28" s="598">
        <f>$D28+$D28*SSP_parameters_assumptions!G42</f>
        <v>0.8</v>
      </c>
      <c r="H28" s="598">
        <f>$D28+$D28*SSP_parameters_assumptions!H42</f>
        <v>0.8</v>
      </c>
      <c r="I28" s="598">
        <f>$D28+$D28*SSP_parameters_assumptions!I42</f>
        <v>1.2</v>
      </c>
      <c r="J28" s="604"/>
      <c r="K28" s="604"/>
      <c r="L28" s="604"/>
      <c r="M28" s="604"/>
    </row>
    <row r="29" spans="1:13" s="582" customFormat="1" x14ac:dyDescent="0.2">
      <c r="A29" s="661"/>
      <c r="B29" s="661"/>
      <c r="C29" s="582" t="s">
        <v>74</v>
      </c>
      <c r="D29" s="552">
        <v>1.25</v>
      </c>
      <c r="E29" s="598">
        <f>$D29+$D29*SSP_parameters_assumptions!E43</f>
        <v>0.9375</v>
      </c>
      <c r="F29" s="598">
        <f>$D29+$D29*SSP_parameters_assumptions!F43</f>
        <v>1.25</v>
      </c>
      <c r="G29" s="598">
        <f>$D29+$D29*SSP_parameters_assumptions!G43</f>
        <v>1.4375</v>
      </c>
      <c r="H29" s="598">
        <f>$D29+$D29*SSP_parameters_assumptions!H43</f>
        <v>1.0625</v>
      </c>
      <c r="I29" s="598">
        <f>$D29+$D29*SSP_parameters_assumptions!I43</f>
        <v>1.875</v>
      </c>
      <c r="J29" s="604"/>
      <c r="K29" s="604"/>
      <c r="L29" s="604"/>
      <c r="M29" s="604"/>
    </row>
    <row r="30" spans="1:13" s="582" customFormat="1" x14ac:dyDescent="0.2">
      <c r="A30" s="661"/>
      <c r="B30" s="661"/>
      <c r="C30" s="552" t="s">
        <v>78</v>
      </c>
      <c r="D30" s="552">
        <v>0.15</v>
      </c>
      <c r="E30" s="598">
        <f>$D30+$D30*SSP_parameters_assumptions!E43</f>
        <v>0.11249999999999999</v>
      </c>
      <c r="F30" s="598">
        <f>$D30+$D30*SSP_parameters_assumptions!F43</f>
        <v>0.15</v>
      </c>
      <c r="G30" s="598">
        <f>$D30+$D30*SSP_parameters_assumptions!G43</f>
        <v>0.17249999999999999</v>
      </c>
      <c r="H30" s="598">
        <f>$D30+$D30*SSP_parameters_assumptions!H43</f>
        <v>0.1275</v>
      </c>
      <c r="I30" s="598">
        <f>$D30+$D30*SSP_parameters_assumptions!I43</f>
        <v>0.22499999999999998</v>
      </c>
      <c r="J30" s="605"/>
      <c r="K30" s="605"/>
      <c r="L30" s="605"/>
      <c r="M30" s="605"/>
    </row>
    <row r="31" spans="1:13" s="582" customFormat="1" x14ac:dyDescent="0.2">
      <c r="A31" s="661"/>
      <c r="B31" s="661"/>
      <c r="C31" s="552" t="s">
        <v>73</v>
      </c>
      <c r="D31" s="552">
        <v>2.8E-11</v>
      </c>
      <c r="E31" s="598">
        <f>$D31+$D31*SSP_parameters_assumptions!E45</f>
        <v>1.4E-11</v>
      </c>
      <c r="F31" s="598">
        <f>$D31+$D31*SSP_parameters_assumptions!F45</f>
        <v>2.8E-11</v>
      </c>
      <c r="G31" s="598">
        <f>$D31+$D31*SSP_parameters_assumptions!G45</f>
        <v>2.2400000000000001E-11</v>
      </c>
      <c r="H31" s="598">
        <f>$D31+$D31*SSP_parameters_assumptions!H45</f>
        <v>2.2400000000000001E-11</v>
      </c>
      <c r="I31" s="598">
        <f>$D31+$D31*SSP_parameters_assumptions!I45</f>
        <v>3.3599999999999999E-11</v>
      </c>
      <c r="J31" s="605"/>
      <c r="K31" s="605"/>
      <c r="L31" s="605"/>
      <c r="M31" s="605"/>
    </row>
    <row r="32" spans="1:13" s="582" customFormat="1" x14ac:dyDescent="0.2">
      <c r="A32" s="661"/>
      <c r="B32" s="661"/>
      <c r="C32" s="552" t="s">
        <v>77</v>
      </c>
      <c r="D32" s="622">
        <v>3E-11</v>
      </c>
      <c r="E32" s="598">
        <f>$D32+$D32*SSP_parameters_assumptions!E46</f>
        <v>1.6500000000000001E-11</v>
      </c>
      <c r="F32" s="598">
        <f>$D32+$D32*SSP_parameters_assumptions!F46</f>
        <v>3E-11</v>
      </c>
      <c r="G32" s="598">
        <f>$D32+$D32*SSP_parameters_assumptions!G46</f>
        <v>1.9499999999999997E-11</v>
      </c>
      <c r="H32" s="598">
        <f>$D32+$D32*SSP_parameters_assumptions!H46</f>
        <v>1.5E-11</v>
      </c>
      <c r="I32" s="598">
        <f>$D32+$D32*SSP_parameters_assumptions!I46</f>
        <v>4.0500000000000002E-11</v>
      </c>
      <c r="J32" s="605"/>
      <c r="K32" s="605"/>
      <c r="L32" s="605"/>
      <c r="M32" s="605"/>
    </row>
    <row r="33" spans="1:13" s="582" customFormat="1" x14ac:dyDescent="0.2">
      <c r="A33" s="661"/>
      <c r="B33" s="661"/>
      <c r="C33" s="55" t="s">
        <v>81</v>
      </c>
      <c r="D33" s="622">
        <v>1.2999999999999999E-12</v>
      </c>
      <c r="E33" s="598">
        <f>$D33+$D33*SSP_parameters_assumptions!E47</f>
        <v>9.7499999999999999E-13</v>
      </c>
      <c r="F33" s="598">
        <f>$D33+$D33*SSP_parameters_assumptions!F47</f>
        <v>1.2999999999999999E-12</v>
      </c>
      <c r="G33" s="598">
        <f>$D33+$D33*SSP_parameters_assumptions!G47</f>
        <v>1.495E-12</v>
      </c>
      <c r="H33" s="598">
        <f>$D33+$D33*SSP_parameters_assumptions!H47</f>
        <v>1.1049999999999998E-12</v>
      </c>
      <c r="I33" s="598">
        <f>$D33+$D33*SSP_parameters_assumptions!I47</f>
        <v>1.95E-12</v>
      </c>
      <c r="J33" s="605"/>
      <c r="K33" s="605"/>
      <c r="L33" s="605"/>
      <c r="M33" s="605"/>
    </row>
    <row r="34" spans="1:13" s="582" customFormat="1" x14ac:dyDescent="0.2">
      <c r="A34" s="661"/>
      <c r="B34" s="661"/>
      <c r="C34" s="552" t="s">
        <v>56</v>
      </c>
      <c r="D34" s="622">
        <v>2</v>
      </c>
      <c r="E34" s="598">
        <f>$D34+$D34*SSP_parameters_assumptions!E48</f>
        <v>2.2999999999999998</v>
      </c>
      <c r="F34" s="598">
        <f>$D34+$D34*SSP_parameters_assumptions!F48</f>
        <v>2</v>
      </c>
      <c r="G34" s="598">
        <f>$D34+$D34*SSP_parameters_assumptions!G48</f>
        <v>1.5</v>
      </c>
      <c r="H34" s="598">
        <f>$D34+$D34*SSP_parameters_assumptions!H48</f>
        <v>1.8</v>
      </c>
      <c r="I34" s="598">
        <f>$D34+$D34*SSP_parameters_assumptions!I48</f>
        <v>2</v>
      </c>
      <c r="J34" s="605"/>
      <c r="K34" s="605"/>
      <c r="L34" s="605"/>
      <c r="M34" s="605"/>
    </row>
    <row r="35" spans="1:13" s="582" customFormat="1" x14ac:dyDescent="0.2">
      <c r="A35" s="661"/>
      <c r="B35" s="661"/>
      <c r="C35" s="55" t="s">
        <v>63</v>
      </c>
      <c r="D35" s="552">
        <v>0.2</v>
      </c>
      <c r="E35" s="598">
        <f>$D35+$D35*SSP_parameters_assumptions!E49</f>
        <v>0.23</v>
      </c>
      <c r="F35" s="598">
        <f>$D35+$D35*SSP_parameters_assumptions!F49</f>
        <v>0.2</v>
      </c>
      <c r="G35" s="598">
        <f>$D35+$D35*SSP_parameters_assumptions!G49</f>
        <v>0.14000000000000001</v>
      </c>
      <c r="H35" s="598">
        <f>$D35+$D35*SSP_parameters_assumptions!H49</f>
        <v>0.18</v>
      </c>
      <c r="I35" s="598">
        <f>$D35+$D35*SSP_parameters_assumptions!I49</f>
        <v>0.2</v>
      </c>
      <c r="J35" s="604"/>
      <c r="K35" s="604"/>
      <c r="L35" s="604"/>
      <c r="M35" s="604"/>
    </row>
    <row r="36" spans="1:13" s="582" customFormat="1" x14ac:dyDescent="0.2">
      <c r="A36" s="661"/>
      <c r="B36" s="661"/>
      <c r="C36" s="539" t="s">
        <v>69</v>
      </c>
      <c r="D36" s="552">
        <v>50</v>
      </c>
      <c r="E36" s="598">
        <f>$D36+$D36*SSP_parameters_assumptions!E50</f>
        <v>42.5</v>
      </c>
      <c r="F36" s="598">
        <f>$D36+$D36*SSP_parameters_assumptions!F50</f>
        <v>50</v>
      </c>
      <c r="G36" s="598">
        <f>$D36+$D36*SSP_parameters_assumptions!G50</f>
        <v>65</v>
      </c>
      <c r="H36" s="598">
        <f>$D36+$D36*SSP_parameters_assumptions!H50</f>
        <v>55</v>
      </c>
      <c r="I36" s="598">
        <f>$D36+$D36*SSP_parameters_assumptions!I50</f>
        <v>50</v>
      </c>
      <c r="J36" s="606"/>
      <c r="K36" s="606"/>
      <c r="L36" s="606"/>
      <c r="M36" s="606"/>
    </row>
    <row r="37" spans="1:13" ht="14.25" customHeight="1" x14ac:dyDescent="0.2">
      <c r="A37" s="661"/>
      <c r="B37" s="662" t="s">
        <v>1553</v>
      </c>
      <c r="C37" s="622" t="s">
        <v>71</v>
      </c>
      <c r="D37" s="622">
        <v>0.04</v>
      </c>
      <c r="E37" s="598">
        <f>$D37+$D37*SSP_parameters_assumptions!E51</f>
        <v>0.02</v>
      </c>
      <c r="F37" s="598">
        <f>$D37+$D37*SSP_parameters_assumptions!F51</f>
        <v>0.04</v>
      </c>
      <c r="G37" s="598">
        <f>$D37+$D37*SSP_parameters_assumptions!G51</f>
        <v>3.2000000000000001E-2</v>
      </c>
      <c r="H37" s="598">
        <f>$D37+$D37*SSP_parameters_assumptions!H51</f>
        <v>3.2000000000000001E-2</v>
      </c>
      <c r="I37" s="598">
        <f>$D37+$D37*SSP_parameters_assumptions!I51</f>
        <v>4.8000000000000001E-2</v>
      </c>
      <c r="J37" s="604"/>
      <c r="K37" s="604"/>
      <c r="L37" s="604"/>
      <c r="M37" s="604"/>
    </row>
    <row r="38" spans="1:13" x14ac:dyDescent="0.2">
      <c r="A38" s="661"/>
      <c r="B38" s="662"/>
      <c r="C38" s="622" t="s">
        <v>75</v>
      </c>
      <c r="D38" s="622">
        <v>0.04</v>
      </c>
      <c r="E38" s="598">
        <f>$D38+$D38*SSP_parameters_assumptions!E52</f>
        <v>0.03</v>
      </c>
      <c r="F38" s="598">
        <f>$D38+$D38*SSP_parameters_assumptions!F52</f>
        <v>0.04</v>
      </c>
      <c r="G38" s="598">
        <f>$D38+$D38*SSP_parameters_assumptions!G52</f>
        <v>3.4000000000000002E-2</v>
      </c>
      <c r="H38" s="598">
        <f>$D38+$D38*SSP_parameters_assumptions!H52</f>
        <v>0.03</v>
      </c>
      <c r="I38" s="598">
        <f>$D38+$D38*SSP_parameters_assumptions!I52</f>
        <v>4.8000000000000001E-2</v>
      </c>
      <c r="J38" s="604"/>
      <c r="K38" s="604"/>
      <c r="L38" s="604"/>
      <c r="M38" s="604"/>
    </row>
    <row r="39" spans="1:13" x14ac:dyDescent="0.2">
      <c r="A39" s="661"/>
      <c r="B39" s="662"/>
      <c r="C39" s="622" t="s">
        <v>79</v>
      </c>
      <c r="D39" s="622">
        <v>0.35</v>
      </c>
      <c r="E39" s="598">
        <f>$D39+$D39*SSP_parameters_assumptions!E53</f>
        <v>0.26249999999999996</v>
      </c>
      <c r="F39" s="598">
        <f>$D39+$D39*SSP_parameters_assumptions!F53</f>
        <v>0.35</v>
      </c>
      <c r="G39" s="598">
        <f>$D39+$D39*SSP_parameters_assumptions!G53</f>
        <v>0.40249999999999997</v>
      </c>
      <c r="H39" s="598">
        <f>$D39+$D39*SSP_parameters_assumptions!H53</f>
        <v>0.29749999999999999</v>
      </c>
      <c r="I39" s="598">
        <f>$D39+$D39*SSP_parameters_assumptions!I53</f>
        <v>0.52499999999999991</v>
      </c>
      <c r="J39" s="604"/>
      <c r="K39" s="604"/>
      <c r="L39" s="604"/>
      <c r="M39" s="604"/>
    </row>
    <row r="40" spans="1:13" x14ac:dyDescent="0.2">
      <c r="A40" s="661"/>
      <c r="B40" s="662"/>
      <c r="C40" s="607" t="s">
        <v>82</v>
      </c>
      <c r="D40" s="552">
        <v>5</v>
      </c>
      <c r="E40" s="598">
        <f>$D40+$D40*SSP_parameters_assumptions!E54</f>
        <v>6.25</v>
      </c>
      <c r="F40" s="598">
        <f>$D40+$D40*SSP_parameters_assumptions!F54</f>
        <v>5</v>
      </c>
      <c r="G40" s="598">
        <f>$D40+$D40*SSP_parameters_assumptions!G54</f>
        <v>4.25</v>
      </c>
      <c r="H40" s="598">
        <f>$D40+$D40*SSP_parameters_assumptions!H54</f>
        <v>5.75</v>
      </c>
      <c r="I40" s="598">
        <f>$D40+$D40*SSP_parameters_assumptions!I54</f>
        <v>2.5</v>
      </c>
      <c r="J40" s="604"/>
      <c r="K40" s="604"/>
      <c r="L40" s="604"/>
      <c r="M40" s="604"/>
    </row>
    <row r="41" spans="1:13" ht="14.25" customHeight="1" x14ac:dyDescent="0.2">
      <c r="A41" s="661" t="s">
        <v>1512</v>
      </c>
      <c r="B41" s="662" t="s">
        <v>1554</v>
      </c>
      <c r="C41" s="55" t="s">
        <v>171</v>
      </c>
      <c r="D41" s="552">
        <v>900000</v>
      </c>
      <c r="E41" s="598">
        <f>$D41+$D41*SSP_parameters_assumptions!E55</f>
        <v>675000</v>
      </c>
      <c r="F41" s="598">
        <f>$D41+$D41*SSP_parameters_assumptions!F55</f>
        <v>900000</v>
      </c>
      <c r="G41" s="598">
        <f>$D41+$D41*SSP_parameters_assumptions!G55</f>
        <v>1035000</v>
      </c>
      <c r="H41" s="598">
        <f>$D41+$D41*SSP_parameters_assumptions!H55</f>
        <v>765000</v>
      </c>
      <c r="I41" s="598">
        <f>$D41+$D41*SSP_parameters_assumptions!I55</f>
        <v>1350000</v>
      </c>
      <c r="J41" s="604"/>
      <c r="K41" s="604"/>
      <c r="L41" s="604"/>
      <c r="M41" s="604"/>
    </row>
    <row r="42" spans="1:13" x14ac:dyDescent="0.2">
      <c r="A42" s="661"/>
      <c r="B42" s="662"/>
      <c r="C42" s="55" t="s">
        <v>1495</v>
      </c>
      <c r="D42" s="552">
        <v>21000000000</v>
      </c>
      <c r="E42" s="598">
        <f>$D42+$D42*SSP_parameters_assumptions!E56</f>
        <v>10500000000</v>
      </c>
      <c r="F42" s="598">
        <f>$D42+$D42*SSP_parameters_assumptions!F56</f>
        <v>21000000000</v>
      </c>
      <c r="G42" s="598">
        <f>$D42+$D42*SSP_parameters_assumptions!G56</f>
        <v>16800000000</v>
      </c>
      <c r="H42" s="598">
        <f>$D42+$D42*SSP_parameters_assumptions!H56</f>
        <v>16800000000</v>
      </c>
      <c r="I42" s="598">
        <f>$D42+$D42*SSP_parameters_assumptions!I56</f>
        <v>36750000000</v>
      </c>
      <c r="J42" s="604"/>
      <c r="K42" s="604"/>
      <c r="L42" s="604"/>
      <c r="M42" s="604"/>
    </row>
    <row r="43" spans="1:13" x14ac:dyDescent="0.2">
      <c r="A43" s="661"/>
      <c r="B43" s="662"/>
      <c r="C43" s="55" t="s">
        <v>1496</v>
      </c>
      <c r="D43" s="552">
        <v>5000</v>
      </c>
      <c r="E43" s="598">
        <f>$D43+$D43*SSP_parameters_assumptions!E57</f>
        <v>2750</v>
      </c>
      <c r="F43" s="598">
        <f>$D43+$D43*SSP_parameters_assumptions!F57</f>
        <v>5000</v>
      </c>
      <c r="G43" s="598">
        <f>$D43+$D43*SSP_parameters_assumptions!G57</f>
        <v>3250</v>
      </c>
      <c r="H43" s="598">
        <f>$D43+$D43*SSP_parameters_assumptions!H57</f>
        <v>2500</v>
      </c>
      <c r="I43" s="598">
        <f>$D43+$D43*SSP_parameters_assumptions!I57</f>
        <v>6750</v>
      </c>
      <c r="J43" s="604"/>
      <c r="K43" s="604"/>
      <c r="L43" s="604"/>
      <c r="M43" s="604"/>
    </row>
    <row r="44" spans="1:13" x14ac:dyDescent="0.2">
      <c r="A44" s="661"/>
      <c r="B44" s="662"/>
      <c r="C44" s="601" t="s">
        <v>55</v>
      </c>
      <c r="D44" s="622">
        <v>10</v>
      </c>
      <c r="E44" s="598">
        <f>$D44+$D44*SSP_parameters_assumptions!E58</f>
        <v>6</v>
      </c>
      <c r="F44" s="598">
        <f>$D44+$D44*SSP_parameters_assumptions!F58</f>
        <v>10</v>
      </c>
      <c r="G44" s="598">
        <f>$D44+$D44*SSP_parameters_assumptions!G58</f>
        <v>17.5</v>
      </c>
      <c r="H44" s="598">
        <f>$D44+$D44*SSP_parameters_assumptions!H58</f>
        <v>13</v>
      </c>
      <c r="I44" s="598">
        <f>$D44+$D44*SSP_parameters_assumptions!I58</f>
        <v>10</v>
      </c>
      <c r="J44" s="605"/>
      <c r="K44" s="605"/>
      <c r="L44" s="605"/>
      <c r="M44" s="605"/>
    </row>
    <row r="45" spans="1:13" x14ac:dyDescent="0.2">
      <c r="A45" s="661"/>
      <c r="B45" s="662"/>
      <c r="C45" s="601" t="s">
        <v>61</v>
      </c>
      <c r="D45" s="622">
        <v>30000000</v>
      </c>
      <c r="E45" s="598">
        <f>$D45+$D45*SSP_parameters_assumptions!E59</f>
        <v>10500000</v>
      </c>
      <c r="F45" s="598">
        <f>$D45+$D45*SSP_parameters_assumptions!F59</f>
        <v>30000000</v>
      </c>
      <c r="G45" s="598">
        <f>$D45+$D45*SSP_parameters_assumptions!G59</f>
        <v>3000000</v>
      </c>
      <c r="H45" s="598">
        <f>$D45+$D45*SSP_parameters_assumptions!H59</f>
        <v>18000000</v>
      </c>
      <c r="I45" s="598">
        <f>$D45+$D45*SSP_parameters_assumptions!I59</f>
        <v>27000000</v>
      </c>
      <c r="J45" s="605"/>
      <c r="K45" s="605"/>
      <c r="L45" s="605"/>
      <c r="M45" s="605"/>
    </row>
    <row r="46" spans="1:13" ht="14.25" customHeight="1" x14ac:dyDescent="0.2">
      <c r="A46" s="661"/>
      <c r="B46" s="662"/>
      <c r="C46" s="622" t="s">
        <v>127</v>
      </c>
      <c r="D46" s="622">
        <v>7500000000</v>
      </c>
      <c r="E46" s="598">
        <f>$D46+$D46*SSP_parameters_assumptions!E62</f>
        <v>0</v>
      </c>
      <c r="F46" s="598">
        <f>$D46+$D46*SSP_parameters_assumptions!F62</f>
        <v>7500000000</v>
      </c>
      <c r="G46" s="598">
        <f>$D46+$D46*SSP_parameters_assumptions!G62</f>
        <v>30000000000</v>
      </c>
      <c r="H46" s="598">
        <f>$D46+$D46*SSP_parameters_assumptions!H62</f>
        <v>22500000000</v>
      </c>
      <c r="I46" s="598">
        <f>$D46+$D46*SSP_parameters_assumptions!I62</f>
        <v>30000000000</v>
      </c>
      <c r="J46" s="604"/>
      <c r="K46" s="604"/>
      <c r="L46" s="604"/>
      <c r="M46" s="604"/>
    </row>
    <row r="47" spans="1:13" x14ac:dyDescent="0.2">
      <c r="A47" s="661"/>
      <c r="B47" s="662"/>
      <c r="C47" s="9" t="s">
        <v>1061</v>
      </c>
      <c r="D47" s="9">
        <v>0</v>
      </c>
      <c r="E47" s="609">
        <v>1</v>
      </c>
      <c r="F47" s="609">
        <v>0</v>
      </c>
      <c r="G47" s="609">
        <v>0</v>
      </c>
      <c r="H47" s="609">
        <v>0</v>
      </c>
      <c r="I47" s="609">
        <v>0</v>
      </c>
      <c r="J47" s="610"/>
      <c r="K47" s="610"/>
      <c r="L47" s="610"/>
      <c r="M47" s="610"/>
    </row>
    <row r="48" spans="1:13" s="582" customFormat="1" ht="14.25" customHeight="1" x14ac:dyDescent="0.2">
      <c r="A48" s="661"/>
      <c r="B48" s="662"/>
      <c r="C48" s="601" t="s">
        <v>88</v>
      </c>
      <c r="D48" s="622">
        <v>0.95</v>
      </c>
      <c r="E48" s="598">
        <f>$D48+$D48*SSP_parameters_assumptions!E65</f>
        <v>0.90249999999999997</v>
      </c>
      <c r="F48" s="598">
        <f>$D48+$D48*SSP_parameters_assumptions!F65</f>
        <v>0.95</v>
      </c>
      <c r="G48" s="616">
        <v>1</v>
      </c>
      <c r="H48" s="598">
        <f>$D48+$D48*SSP_parameters_assumptions!H65</f>
        <v>0.95</v>
      </c>
      <c r="I48" s="598">
        <f>$D48+$D48*SSP_parameters_assumptions!I65</f>
        <v>0.93099999999999994</v>
      </c>
      <c r="J48" s="606"/>
      <c r="K48" s="606"/>
      <c r="L48" s="606"/>
      <c r="M48" s="606"/>
    </row>
    <row r="49" spans="1:13" s="582" customFormat="1" x14ac:dyDescent="0.2">
      <c r="A49" s="661"/>
      <c r="B49" s="662"/>
      <c r="C49" s="41" t="s">
        <v>89</v>
      </c>
      <c r="D49" s="622">
        <v>5</v>
      </c>
      <c r="E49" s="598">
        <f>$D49+$D49*SSP_parameters_assumptions!E66</f>
        <v>5.5</v>
      </c>
      <c r="F49" s="598">
        <f>$D49+$D49*SSP_parameters_assumptions!F66</f>
        <v>5</v>
      </c>
      <c r="G49" s="598">
        <f>$D49+$D49*SSP_parameters_assumptions!G66</f>
        <v>2.5</v>
      </c>
      <c r="H49" s="598">
        <f>$D49+$D49*SSP_parameters_assumptions!H66</f>
        <v>5</v>
      </c>
      <c r="I49" s="598">
        <f>$D49+$D49*SSP_parameters_assumptions!I66</f>
        <v>5.25</v>
      </c>
      <c r="J49" s="606"/>
      <c r="K49" s="606"/>
      <c r="L49" s="606"/>
      <c r="M49" s="606"/>
    </row>
    <row r="50" spans="1:13" ht="14.25" customHeight="1" x14ac:dyDescent="0.2">
      <c r="A50" s="661"/>
      <c r="B50" s="662"/>
      <c r="C50" s="552" t="s">
        <v>109</v>
      </c>
      <c r="D50" s="552">
        <v>7.0000000000000007E-2</v>
      </c>
      <c r="E50" s="598">
        <f>$D50+$D50*SSP_parameters_assumptions!E69</f>
        <v>8.7500000000000008E-2</v>
      </c>
      <c r="F50" s="598">
        <f>$D50+$D50*SSP_parameters_assumptions!F69</f>
        <v>7.0000000000000007E-2</v>
      </c>
      <c r="G50" s="598">
        <f>$D50+$D50*SSP_parameters_assumptions!G69</f>
        <v>5.2500000000000005E-2</v>
      </c>
      <c r="H50" s="598">
        <f>$D50+$D50*SSP_parameters_assumptions!H69</f>
        <v>6.3E-2</v>
      </c>
      <c r="I50" s="598">
        <f>$D50+$D50*SSP_parameters_assumptions!I69</f>
        <v>8.0500000000000002E-2</v>
      </c>
      <c r="J50" s="605"/>
      <c r="K50" s="605"/>
      <c r="L50" s="605"/>
      <c r="M50" s="605"/>
    </row>
    <row r="51" spans="1:13" x14ac:dyDescent="0.2">
      <c r="A51" s="661"/>
      <c r="B51" s="662"/>
      <c r="C51" s="622" t="s">
        <v>107</v>
      </c>
      <c r="D51" s="622">
        <v>0.3</v>
      </c>
      <c r="E51" s="598">
        <f>$D51+$D51*SSP_parameters_assumptions!E70</f>
        <v>0.34499999999999997</v>
      </c>
      <c r="F51" s="598">
        <f>$D51+$D51*SSP_parameters_assumptions!F70</f>
        <v>0.3</v>
      </c>
      <c r="G51" s="598">
        <f>$D51+$D51*SSP_parameters_assumptions!G70</f>
        <v>0.22499999999999998</v>
      </c>
      <c r="H51" s="598">
        <f>$D51+$D51*SSP_parameters_assumptions!H70</f>
        <v>0.27</v>
      </c>
      <c r="I51" s="598">
        <f>$D51+$D51*SSP_parameters_assumptions!I70</f>
        <v>0.34499999999999997</v>
      </c>
      <c r="J51" s="605"/>
      <c r="K51" s="605"/>
      <c r="L51" s="605"/>
      <c r="M51" s="605"/>
    </row>
    <row r="52" spans="1:13" ht="14.25" customHeight="1" x14ac:dyDescent="0.2">
      <c r="A52" s="661"/>
      <c r="B52" s="662" t="s">
        <v>387</v>
      </c>
      <c r="C52" s="582" t="s">
        <v>110</v>
      </c>
      <c r="D52" s="552">
        <v>1</v>
      </c>
      <c r="E52" s="598">
        <f>$D52+$D52*SSP_parameters_assumptions!E73</f>
        <v>0.5</v>
      </c>
      <c r="F52" s="598">
        <f>$D52+$D52*SSP_parameters_assumptions!F73</f>
        <v>1</v>
      </c>
      <c r="G52" s="598">
        <f>$D52+$D52*SSP_parameters_assumptions!G73</f>
        <v>1.5</v>
      </c>
      <c r="H52" s="598">
        <f>$D52+$D52*SSP_parameters_assumptions!H73</f>
        <v>0.75</v>
      </c>
      <c r="I52" s="598">
        <f>$D52+$D52*SSP_parameters_assumptions!I73</f>
        <v>0.8</v>
      </c>
      <c r="J52" s="605"/>
      <c r="K52" s="605"/>
      <c r="L52" s="605"/>
      <c r="M52" s="605"/>
    </row>
    <row r="53" spans="1:13" x14ac:dyDescent="0.2">
      <c r="A53" s="661"/>
      <c r="B53" s="662"/>
      <c r="C53" s="582" t="s">
        <v>114</v>
      </c>
      <c r="D53" s="617">
        <v>1</v>
      </c>
      <c r="E53" s="598">
        <f>$D53+$D53*SSP_parameters_assumptions!E74</f>
        <v>0.9</v>
      </c>
      <c r="F53" s="598">
        <f>$D53+$D53*SSP_parameters_assumptions!F74</f>
        <v>1</v>
      </c>
      <c r="G53" s="598">
        <f>$D53+$D53*SSP_parameters_assumptions!G74</f>
        <v>1.05</v>
      </c>
      <c r="H53" s="598">
        <f>$D53+$D53*SSP_parameters_assumptions!H74</f>
        <v>0.95</v>
      </c>
      <c r="I53" s="598">
        <f>$D53+$D53*SSP_parameters_assumptions!I74</f>
        <v>1.1000000000000001</v>
      </c>
      <c r="J53" s="605"/>
      <c r="K53" s="605"/>
      <c r="L53" s="605"/>
      <c r="M53" s="605"/>
    </row>
    <row r="54" spans="1:13" x14ac:dyDescent="0.2">
      <c r="A54" s="661"/>
      <c r="B54" s="662"/>
      <c r="C54" s="582" t="s">
        <v>115</v>
      </c>
      <c r="D54" s="617">
        <v>1</v>
      </c>
      <c r="E54" s="598">
        <f>$D54+$D54*SSP_parameters_assumptions!E75</f>
        <v>0.9</v>
      </c>
      <c r="F54" s="598">
        <f>$D54+$D54*SSP_parameters_assumptions!F75</f>
        <v>1</v>
      </c>
      <c r="G54" s="598">
        <f>$D54+$D54*SSP_parameters_assumptions!G75</f>
        <v>1.05</v>
      </c>
      <c r="H54" s="598">
        <f>$D54+$D54*SSP_parameters_assumptions!H75</f>
        <v>0.95</v>
      </c>
      <c r="I54" s="598">
        <f>$D54+$D54*SSP_parameters_assumptions!I75</f>
        <v>1.1000000000000001</v>
      </c>
      <c r="J54" s="605"/>
      <c r="K54" s="605"/>
      <c r="L54" s="605"/>
      <c r="M54" s="605"/>
    </row>
    <row r="55" spans="1:13" x14ac:dyDescent="0.2">
      <c r="A55" s="661"/>
      <c r="B55" s="662"/>
      <c r="C55" s="552" t="s">
        <v>116</v>
      </c>
      <c r="D55" s="600">
        <v>1</v>
      </c>
      <c r="E55" s="598">
        <f>$D55+$D55*SSP_parameters_assumptions!E76</f>
        <v>0.9</v>
      </c>
      <c r="F55" s="598">
        <f>$D55+$D55*SSP_parameters_assumptions!F76</f>
        <v>1</v>
      </c>
      <c r="G55" s="598">
        <f>$D55+$D55*SSP_parameters_assumptions!G76</f>
        <v>1.05</v>
      </c>
      <c r="H55" s="598">
        <f>$D55+$D55*SSP_parameters_assumptions!H76</f>
        <v>0.95</v>
      </c>
      <c r="I55" s="598">
        <f>$D55+$D55*SSP_parameters_assumptions!I76</f>
        <v>1.1000000000000001</v>
      </c>
      <c r="J55" s="605"/>
      <c r="K55" s="605"/>
      <c r="L55" s="605"/>
      <c r="M55" s="605"/>
    </row>
    <row r="56" spans="1:13" x14ac:dyDescent="0.2">
      <c r="A56" s="661"/>
      <c r="B56" s="662"/>
      <c r="C56" s="552" t="s">
        <v>120</v>
      </c>
      <c r="D56" s="552">
        <v>1672.6</v>
      </c>
      <c r="E56" s="598">
        <f>$D56+$D56*SSP_parameters_assumptions!E77</f>
        <v>1505.34</v>
      </c>
      <c r="F56" s="598">
        <f>$D56+$D56*SSP_parameters_assumptions!F77</f>
        <v>1672.6</v>
      </c>
      <c r="G56" s="598">
        <f>$D56+$D56*SSP_parameters_assumptions!G77</f>
        <v>1756.23</v>
      </c>
      <c r="H56" s="598">
        <f>$D56+$D56*SSP_parameters_assumptions!H77</f>
        <v>1756.23</v>
      </c>
      <c r="I56" s="598">
        <f>$D56+$D56*SSP_parameters_assumptions!I77</f>
        <v>2090.75</v>
      </c>
      <c r="J56" s="605"/>
      <c r="K56" s="605"/>
      <c r="L56" s="605"/>
      <c r="M56" s="605"/>
    </row>
    <row r="57" spans="1:13" ht="14.25" customHeight="1" x14ac:dyDescent="0.2">
      <c r="A57" s="661"/>
      <c r="B57" s="662" t="s">
        <v>1523</v>
      </c>
      <c r="C57" s="552" t="s">
        <v>117</v>
      </c>
      <c r="D57" s="58">
        <v>0.01</v>
      </c>
      <c r="E57" s="598">
        <f>$D57+$D57*SSP_parameters_assumptions!E78</f>
        <v>5.0000000000000001E-3</v>
      </c>
      <c r="F57" s="598">
        <f>$D57+$D57*SSP_parameters_assumptions!F78</f>
        <v>0.01</v>
      </c>
      <c r="G57" s="616">
        <v>6.7000000000000002E-3</v>
      </c>
      <c r="H57" s="598">
        <f>$D57+$D57*SSP_parameters_assumptions!H78</f>
        <v>5.4999999999999997E-3</v>
      </c>
      <c r="I57" s="598">
        <f>$D57+$D57*SSP_parameters_assumptions!I78</f>
        <v>1.2500000000000001E-2</v>
      </c>
      <c r="J57" s="604"/>
      <c r="K57" s="605"/>
      <c r="L57" s="605"/>
      <c r="M57" s="605"/>
    </row>
    <row r="58" spans="1:13" x14ac:dyDescent="0.2">
      <c r="A58" s="661"/>
      <c r="B58" s="662"/>
      <c r="C58" s="582" t="s">
        <v>118</v>
      </c>
      <c r="D58" s="618">
        <v>3.0000000000000001E-3</v>
      </c>
      <c r="E58" s="598">
        <f>$D58+$D58*SSP_parameters_assumptions!E79</f>
        <v>4.5000000000000005E-3</v>
      </c>
      <c r="F58" s="598">
        <f>$D58+$D58*SSP_parameters_assumptions!F79</f>
        <v>3.0000000000000001E-3</v>
      </c>
      <c r="G58" s="598">
        <f>$D58+$D58*SSP_parameters_assumptions!G79</f>
        <v>2.4000000000000002E-3</v>
      </c>
      <c r="H58" s="598">
        <f>$D58+$D58*SSP_parameters_assumptions!H79</f>
        <v>4.3499999999999997E-3</v>
      </c>
      <c r="I58" s="598">
        <f>$D58+$D58*SSP_parameters_assumptions!I79</f>
        <v>2.2500000000000003E-3</v>
      </c>
      <c r="J58" s="605"/>
      <c r="K58" s="605"/>
      <c r="L58" s="605"/>
      <c r="M58" s="605"/>
    </row>
    <row r="59" spans="1:13" x14ac:dyDescent="0.2">
      <c r="A59" s="661"/>
      <c r="B59" s="662"/>
      <c r="C59" s="582" t="s">
        <v>119</v>
      </c>
      <c r="D59" s="618">
        <v>0.04</v>
      </c>
      <c r="E59" s="598">
        <f>$D59+$D59*SSP_parameters_assumptions!E80</f>
        <v>4.2000000000000003E-2</v>
      </c>
      <c r="F59" s="598">
        <f>$D59+$D59*SSP_parameters_assumptions!F80</f>
        <v>0.04</v>
      </c>
      <c r="G59" s="598">
        <f>$D59+$D59*SSP_parameters_assumptions!G80</f>
        <v>4.2000000000000003E-2</v>
      </c>
      <c r="H59" s="598">
        <f>$D59+$D59*SSP_parameters_assumptions!H80</f>
        <v>0.04</v>
      </c>
      <c r="I59" s="598">
        <f>$D59+$D59*SSP_parameters_assumptions!I80</f>
        <v>4.2000000000000003E-2</v>
      </c>
      <c r="J59" s="605"/>
      <c r="K59" s="605"/>
      <c r="L59" s="605"/>
      <c r="M59" s="605"/>
    </row>
    <row r="60" spans="1:13" x14ac:dyDescent="0.2">
      <c r="A60" s="661"/>
      <c r="B60" s="662"/>
      <c r="C60" s="539" t="s">
        <v>126</v>
      </c>
      <c r="D60" s="552">
        <v>1.2</v>
      </c>
      <c r="E60" s="598">
        <f>$D60+$D60*SSP_parameters_assumptions!E81</f>
        <v>1.5</v>
      </c>
      <c r="F60" s="598">
        <f>$D60+$D60*SSP_parameters_assumptions!F81</f>
        <v>1.2</v>
      </c>
      <c r="G60" s="598">
        <f>$D60+$D60*SSP_parameters_assumptions!G81</f>
        <v>1.08</v>
      </c>
      <c r="H60" s="598">
        <f>$D60+$D60*SSP_parameters_assumptions!H81</f>
        <v>1.44</v>
      </c>
      <c r="I60" s="598">
        <f>$D60+$D60*SSP_parameters_assumptions!I81</f>
        <v>1.08</v>
      </c>
      <c r="J60" s="605"/>
      <c r="K60" s="605"/>
      <c r="L60" s="605"/>
      <c r="M60" s="605"/>
    </row>
    <row r="61" spans="1:13" x14ac:dyDescent="0.2">
      <c r="A61" s="661"/>
      <c r="B61" s="662"/>
      <c r="C61" s="9" t="s">
        <v>134</v>
      </c>
      <c r="D61" s="9">
        <v>0</v>
      </c>
      <c r="E61" s="615">
        <v>4</v>
      </c>
      <c r="F61" s="9">
        <v>0</v>
      </c>
      <c r="G61" s="9">
        <v>0</v>
      </c>
      <c r="H61" s="9">
        <v>1</v>
      </c>
      <c r="I61" s="9">
        <v>0</v>
      </c>
    </row>
    <row r="62" spans="1:13" x14ac:dyDescent="0.2">
      <c r="A62" s="624"/>
      <c r="B62" s="624"/>
    </row>
    <row r="63" spans="1:13" x14ac:dyDescent="0.2">
      <c r="A63" s="624"/>
      <c r="B63" s="624"/>
    </row>
    <row r="64" spans="1:13" x14ac:dyDescent="0.2">
      <c r="A64" s="624"/>
      <c r="B64" s="624"/>
    </row>
  </sheetData>
  <mergeCells count="20">
    <mergeCell ref="A52:A61"/>
    <mergeCell ref="B52:B56"/>
    <mergeCell ref="B57:B61"/>
    <mergeCell ref="A48:A51"/>
    <mergeCell ref="B48:B49"/>
    <mergeCell ref="B50:B51"/>
    <mergeCell ref="A27:A40"/>
    <mergeCell ref="B27:B36"/>
    <mergeCell ref="B37:B40"/>
    <mergeCell ref="A41:A47"/>
    <mergeCell ref="B41:B45"/>
    <mergeCell ref="B46:B47"/>
    <mergeCell ref="B15:B16"/>
    <mergeCell ref="A17:A26"/>
    <mergeCell ref="B17:B22"/>
    <mergeCell ref="B23:B26"/>
    <mergeCell ref="A2:A16"/>
    <mergeCell ref="B2:B4"/>
    <mergeCell ref="B5:B12"/>
    <mergeCell ref="B13:B14"/>
  </mergeCells>
  <pageMargins left="0.7" right="0.7" top="0.75" bottom="0.75" header="0.3" footer="0.3"/>
  <pageSetup paperSize="9"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zoomScale="80" zoomScaleNormal="80" workbookViewId="0">
      <pane xSplit="1" ySplit="1" topLeftCell="C5" activePane="bottomRight" state="frozen"/>
      <selection pane="topRight" activeCell="C1" sqref="C1"/>
      <selection pane="bottomLeft" activeCell="A2" sqref="A2"/>
      <selection pane="bottomRight" activeCell="A39" sqref="A39"/>
    </sheetView>
  </sheetViews>
  <sheetFormatPr defaultColWidth="9" defaultRowHeight="14.25" x14ac:dyDescent="0.2"/>
  <cols>
    <col min="1" max="1" width="77.5703125" style="582" bestFit="1" customWidth="1"/>
    <col min="2" max="2" width="16" style="582" hidden="1" customWidth="1"/>
    <col min="3" max="3" width="25.85546875" style="553" customWidth="1"/>
    <col min="4" max="4" width="25.5703125" style="553" customWidth="1"/>
    <col min="5" max="5" width="27.5703125" style="553" customWidth="1"/>
    <col min="6" max="6" width="25.85546875" style="553" customWidth="1"/>
    <col min="7" max="7" width="30.140625" style="553" customWidth="1"/>
    <col min="8" max="8" width="31.140625" style="582" customWidth="1"/>
    <col min="9" max="16384" width="9" style="582"/>
  </cols>
  <sheetData>
    <row r="1" spans="1:7" s="633" customFormat="1" ht="123" customHeight="1" x14ac:dyDescent="0.2">
      <c r="A1" s="632" t="s">
        <v>1577</v>
      </c>
      <c r="B1" s="632" t="s">
        <v>1532</v>
      </c>
      <c r="C1" s="506" t="s">
        <v>136</v>
      </c>
      <c r="D1" s="506" t="s">
        <v>137</v>
      </c>
      <c r="E1" s="506" t="s">
        <v>138</v>
      </c>
      <c r="F1" s="632" t="s">
        <v>139</v>
      </c>
      <c r="G1" s="506" t="s">
        <v>140</v>
      </c>
    </row>
    <row r="2" spans="1:7" x14ac:dyDescent="0.2">
      <c r="A2" s="552" t="s">
        <v>7</v>
      </c>
      <c r="B2" s="552">
        <v>0.51500000000000001</v>
      </c>
      <c r="C2" s="598">
        <v>0.38624999999999998</v>
      </c>
      <c r="D2" s="598">
        <v>0.46887200000000001</v>
      </c>
      <c r="E2" s="598">
        <v>0.53737000000000001</v>
      </c>
      <c r="F2" s="598">
        <v>0.56987500000000002</v>
      </c>
      <c r="G2" s="598">
        <v>0.38624999999999998</v>
      </c>
    </row>
    <row r="3" spans="1:7" x14ac:dyDescent="0.2">
      <c r="A3" s="552" t="s">
        <v>33</v>
      </c>
      <c r="B3" s="553">
        <v>0</v>
      </c>
      <c r="C3" s="553">
        <v>-8.4299400000000003E-3</v>
      </c>
      <c r="D3" s="553">
        <v>-8.4708500000000003E-3</v>
      </c>
      <c r="E3" s="553">
        <v>3.4964000000000002E-3</v>
      </c>
      <c r="F3" s="553">
        <v>3.4978600000000002E-3</v>
      </c>
      <c r="G3" s="553">
        <v>-8.5000000000000006E-3</v>
      </c>
    </row>
    <row r="4" spans="1:7" x14ac:dyDescent="0.2">
      <c r="A4" s="552" t="s">
        <v>34</v>
      </c>
      <c r="B4" s="553">
        <v>0</v>
      </c>
      <c r="C4" s="553">
        <v>-8.4945999999999997E-3</v>
      </c>
      <c r="D4" s="553">
        <v>-8.4963999999999994E-3</v>
      </c>
      <c r="E4" s="553">
        <v>3.4964000000000002E-3</v>
      </c>
      <c r="F4" s="553">
        <v>3.5000000000000001E-3</v>
      </c>
      <c r="G4" s="553">
        <v>-8.5000000000000006E-3</v>
      </c>
    </row>
    <row r="5" spans="1:7" x14ac:dyDescent="0.2">
      <c r="A5" s="552" t="s">
        <v>35</v>
      </c>
      <c r="B5" s="553">
        <v>0.01</v>
      </c>
      <c r="C5" s="553">
        <v>8.2838900000000004E-3</v>
      </c>
      <c r="D5" s="553">
        <v>1.79196E-3</v>
      </c>
      <c r="E5" s="553">
        <v>-3.8629599999999999E-3</v>
      </c>
      <c r="F5" s="553">
        <v>-2.8030199999999998E-3</v>
      </c>
      <c r="G5" s="553">
        <v>0.01</v>
      </c>
    </row>
    <row r="6" spans="1:7" x14ac:dyDescent="0.2">
      <c r="A6" s="552" t="s">
        <v>36</v>
      </c>
      <c r="B6" s="553">
        <v>5.0000000000000001E-3</v>
      </c>
      <c r="C6" s="553">
        <v>3.8922399999999999E-3</v>
      </c>
      <c r="D6" s="553">
        <v>4.8892700000000002E-3</v>
      </c>
      <c r="E6" s="553">
        <v>-4.3786500000000004E-3</v>
      </c>
      <c r="F6" s="553">
        <v>-3.3459700000000002E-3</v>
      </c>
      <c r="G6" s="553">
        <v>4.98235E-3</v>
      </c>
    </row>
    <row r="7" spans="1:7" x14ac:dyDescent="0.2">
      <c r="A7" s="552" t="s">
        <v>97</v>
      </c>
      <c r="B7" s="552">
        <v>1.25</v>
      </c>
      <c r="C7" s="598">
        <f>$B7+$B7*SSP_parameters_assumptions!E22</f>
        <v>1.125</v>
      </c>
      <c r="D7" s="598">
        <f>$B7+$B7*SSP_parameters_assumptions!F22</f>
        <v>1.25</v>
      </c>
      <c r="E7" s="598">
        <f>$B7+$B7*SSP_parameters_assumptions!G22</f>
        <v>0.9375</v>
      </c>
      <c r="F7" s="598">
        <f>$B7+$B7*SSP_parameters_assumptions!H22</f>
        <v>1.3125</v>
      </c>
      <c r="G7" s="598">
        <f>$B7+$B7*SSP_parameters_assumptions!I22</f>
        <v>1.875</v>
      </c>
    </row>
    <row r="8" spans="1:7" x14ac:dyDescent="0.2">
      <c r="A8" s="552" t="s">
        <v>98</v>
      </c>
      <c r="B8" s="552">
        <v>5</v>
      </c>
      <c r="C8" s="598">
        <f>$B8+$B8*SSP_parameters_assumptions!E23</f>
        <v>5.5</v>
      </c>
      <c r="D8" s="598">
        <f>$B8+$B8*SSP_parameters_assumptions!F23</f>
        <v>5</v>
      </c>
      <c r="E8" s="598">
        <f>$B8+$B8*SSP_parameters_assumptions!G23</f>
        <v>6.25</v>
      </c>
      <c r="F8" s="598">
        <f>$B8+$B8*SSP_parameters_assumptions!H23</f>
        <v>4.75</v>
      </c>
      <c r="G8" s="598">
        <f>$B8+$B8*SSP_parameters_assumptions!I23</f>
        <v>2.5</v>
      </c>
    </row>
    <row r="9" spans="1:7" x14ac:dyDescent="0.2">
      <c r="A9" s="552" t="s">
        <v>45</v>
      </c>
      <c r="B9" s="552">
        <v>0.6</v>
      </c>
      <c r="C9" s="598">
        <f>$B9+$B9*SSP_parameters_assumptions!E32</f>
        <v>0.44999999999999996</v>
      </c>
      <c r="D9" s="598">
        <f>$B9+$B9*SSP_parameters_assumptions!F32</f>
        <v>0.6</v>
      </c>
      <c r="E9" s="598">
        <v>1</v>
      </c>
      <c r="F9" s="598">
        <f>$B9+$B9*SSP_parameters_assumptions!H32</f>
        <v>0.78</v>
      </c>
      <c r="G9" s="598">
        <f>$B9+$B9*SSP_parameters_assumptions!I32</f>
        <v>0.63</v>
      </c>
    </row>
    <row r="10" spans="1:7" x14ac:dyDescent="0.2">
      <c r="A10" s="552" t="s">
        <v>46</v>
      </c>
      <c r="B10" s="552">
        <v>0.54</v>
      </c>
      <c r="C10" s="598">
        <f>$B10+$B10*SSP_parameters_assumptions!E33</f>
        <v>0.94500000000000006</v>
      </c>
      <c r="D10" s="598">
        <f>$B10+$B10*SSP_parameters_assumptions!F33</f>
        <v>0.54</v>
      </c>
      <c r="E10" s="598">
        <v>0.63749999999999996</v>
      </c>
      <c r="F10" s="598">
        <f>$B10+$B10*SSP_parameters_assumptions!H33</f>
        <v>0.70200000000000007</v>
      </c>
      <c r="G10" s="598">
        <f>$B10+$B10*SSP_parameters_assumptions!I33</f>
        <v>0.64800000000000002</v>
      </c>
    </row>
    <row r="11" spans="1:7" x14ac:dyDescent="0.2">
      <c r="A11" s="552" t="s">
        <v>47</v>
      </c>
      <c r="B11" s="552">
        <v>0.89</v>
      </c>
      <c r="C11" s="598">
        <f>$B11+$B11*SSP_parameters_assumptions!E34</f>
        <v>0.80100000000000005</v>
      </c>
      <c r="D11" s="598">
        <f>$B11+$B11*SSP_parameters_assumptions!F34</f>
        <v>0.89</v>
      </c>
      <c r="E11" s="598">
        <v>1.25</v>
      </c>
      <c r="F11" s="598">
        <f>$B11+$B11*SSP_parameters_assumptions!H34</f>
        <v>0.84550000000000003</v>
      </c>
      <c r="G11" s="598">
        <f>$B11+$B11*SSP_parameters_assumptions!I34</f>
        <v>1.1125</v>
      </c>
    </row>
    <row r="12" spans="1:7" x14ac:dyDescent="0.2">
      <c r="A12" s="552" t="s">
        <v>48</v>
      </c>
      <c r="B12" s="552">
        <v>1</v>
      </c>
      <c r="C12" s="598">
        <f>$B12+$B12*SSP_parameters_assumptions!E35</f>
        <v>1.25</v>
      </c>
      <c r="D12" s="598">
        <f>$B12+$B12*SSP_parameters_assumptions!F35</f>
        <v>1</v>
      </c>
      <c r="E12" s="598">
        <f>$B12+$B12*SSP_parameters_assumptions!G35</f>
        <v>0.5</v>
      </c>
      <c r="F12" s="598">
        <f>$B12+$B12*SSP_parameters_assumptions!H35</f>
        <v>0.8</v>
      </c>
      <c r="G12" s="598">
        <f>$B12+$B12*SSP_parameters_assumptions!I35</f>
        <v>1</v>
      </c>
    </row>
    <row r="13" spans="1:7" x14ac:dyDescent="0.2">
      <c r="A13" s="552" t="s">
        <v>49</v>
      </c>
      <c r="B13" s="552">
        <v>0.8</v>
      </c>
      <c r="C13" s="598">
        <f>$B13+$B13*SSP_parameters_assumptions!E36</f>
        <v>0.8</v>
      </c>
      <c r="D13" s="598">
        <f>$B13+$B13*SSP_parameters_assumptions!F36</f>
        <v>0.8</v>
      </c>
      <c r="E13" s="598">
        <f>$B13+$B13*SSP_parameters_assumptions!G36</f>
        <v>1.2000000000000002</v>
      </c>
      <c r="F13" s="598">
        <f>$B13+$B13*SSP_parameters_assumptions!H36</f>
        <v>0.96000000000000008</v>
      </c>
      <c r="G13" s="598">
        <f>$B13+$B13*SSP_parameters_assumptions!I36</f>
        <v>0.84000000000000008</v>
      </c>
    </row>
    <row r="14" spans="1:7" ht="14.25" customHeight="1" x14ac:dyDescent="0.2">
      <c r="A14" s="582" t="s">
        <v>84</v>
      </c>
      <c r="B14" s="552">
        <v>10</v>
      </c>
      <c r="C14" s="598">
        <f>$B14+$B14*SSP_parameters_assumptions!E41</f>
        <v>10</v>
      </c>
      <c r="D14" s="598">
        <f>$B14+$B14*SSP_parameters_assumptions!F41</f>
        <v>10</v>
      </c>
      <c r="E14" s="598">
        <f>$B14+$B14*SSP_parameters_assumptions!G41</f>
        <v>10</v>
      </c>
      <c r="F14" s="598">
        <f>$B14+$B14*SSP_parameters_assumptions!H41</f>
        <v>10</v>
      </c>
      <c r="G14" s="598">
        <f>$B14+$B14*SSP_parameters_assumptions!I41</f>
        <v>10</v>
      </c>
    </row>
    <row r="15" spans="1:7" ht="14.25" customHeight="1" x14ac:dyDescent="0.2">
      <c r="A15" s="582" t="s">
        <v>70</v>
      </c>
      <c r="B15" s="552">
        <v>1</v>
      </c>
      <c r="C15" s="598">
        <f>$B15+$B15*SSP_parameters_assumptions!E42</f>
        <v>0.5</v>
      </c>
      <c r="D15" s="598">
        <f>$B15+$B15*SSP_parameters_assumptions!F42</f>
        <v>1</v>
      </c>
      <c r="E15" s="598">
        <f>$B15+$B15*SSP_parameters_assumptions!G42</f>
        <v>0.8</v>
      </c>
      <c r="F15" s="598">
        <f>$B15+$B15*SSP_parameters_assumptions!H42</f>
        <v>0.8</v>
      </c>
      <c r="G15" s="598">
        <f>$B15+$B15*SSP_parameters_assumptions!I42</f>
        <v>1.2</v>
      </c>
    </row>
    <row r="16" spans="1:7" x14ac:dyDescent="0.2">
      <c r="A16" s="582" t="s">
        <v>74</v>
      </c>
      <c r="B16" s="552">
        <v>1.25</v>
      </c>
      <c r="C16" s="598">
        <f>$B16+$B16*SSP_parameters_assumptions!E43</f>
        <v>0.9375</v>
      </c>
      <c r="D16" s="598">
        <f>$B16+$B16*SSP_parameters_assumptions!F43</f>
        <v>1.25</v>
      </c>
      <c r="E16" s="598">
        <f>$B16+$B16*SSP_parameters_assumptions!G43</f>
        <v>1.4375</v>
      </c>
      <c r="F16" s="598">
        <f>$B16+$B16*SSP_parameters_assumptions!H43</f>
        <v>1.0625</v>
      </c>
      <c r="G16" s="598">
        <f>$B16+$B16*SSP_parameters_assumptions!I43</f>
        <v>1.875</v>
      </c>
    </row>
    <row r="17" spans="1:7" x14ac:dyDescent="0.2">
      <c r="A17" s="552" t="s">
        <v>78</v>
      </c>
      <c r="B17" s="552">
        <v>0.15</v>
      </c>
      <c r="C17" s="598">
        <f>$B17+$B17*SSP_parameters_assumptions!E43</f>
        <v>0.11249999999999999</v>
      </c>
      <c r="D17" s="598">
        <f>$B17+$B17*SSP_parameters_assumptions!F43</f>
        <v>0.15</v>
      </c>
      <c r="E17" s="598">
        <f>$B17+$B17*SSP_parameters_assumptions!G43</f>
        <v>0.17249999999999999</v>
      </c>
      <c r="F17" s="598">
        <f>$B17+$B17*SSP_parameters_assumptions!H43</f>
        <v>0.1275</v>
      </c>
      <c r="G17" s="598">
        <f>$B17+$B17*SSP_parameters_assumptions!I43</f>
        <v>0.22499999999999998</v>
      </c>
    </row>
    <row r="18" spans="1:7" x14ac:dyDescent="0.2">
      <c r="A18" s="552" t="s">
        <v>73</v>
      </c>
      <c r="B18" s="552">
        <v>2.8E-11</v>
      </c>
      <c r="C18" s="598">
        <f>$B18+$B18*SSP_parameters_assumptions!E45</f>
        <v>1.4E-11</v>
      </c>
      <c r="D18" s="598">
        <f>$B18+$B18*SSP_parameters_assumptions!F45</f>
        <v>2.8E-11</v>
      </c>
      <c r="E18" s="598">
        <f>$B18+$B18*SSP_parameters_assumptions!G45</f>
        <v>2.2400000000000001E-11</v>
      </c>
      <c r="F18" s="598">
        <f>$B18+$B18*SSP_parameters_assumptions!H45</f>
        <v>2.2400000000000001E-11</v>
      </c>
      <c r="G18" s="598">
        <f>$B18+$B18*SSP_parameters_assumptions!I45</f>
        <v>3.3599999999999999E-11</v>
      </c>
    </row>
    <row r="19" spans="1:7" x14ac:dyDescent="0.2">
      <c r="A19" s="552" t="s">
        <v>77</v>
      </c>
      <c r="B19" s="552">
        <v>3E-11</v>
      </c>
      <c r="C19" s="598">
        <f>$B19+$B19*SSP_parameters_assumptions!E46</f>
        <v>1.6500000000000001E-11</v>
      </c>
      <c r="D19" s="598">
        <f>$B19+$B19*SSP_parameters_assumptions!F46</f>
        <v>3E-11</v>
      </c>
      <c r="E19" s="598">
        <f>$B19+$B19*SSP_parameters_assumptions!G46</f>
        <v>1.9499999999999997E-11</v>
      </c>
      <c r="F19" s="598">
        <f>$B19+$B19*SSP_parameters_assumptions!H46</f>
        <v>1.5E-11</v>
      </c>
      <c r="G19" s="598">
        <f>$B19+$B19*SSP_parameters_assumptions!I46</f>
        <v>4.0500000000000002E-11</v>
      </c>
    </row>
    <row r="20" spans="1:7" x14ac:dyDescent="0.2">
      <c r="A20" s="582" t="s">
        <v>81</v>
      </c>
      <c r="B20" s="552">
        <v>1.2999999999999999E-12</v>
      </c>
      <c r="C20" s="598">
        <f>$B20+$B20*SSP_parameters_assumptions!E47</f>
        <v>9.7499999999999999E-13</v>
      </c>
      <c r="D20" s="598">
        <f>$B20+$B20*SSP_parameters_assumptions!F47</f>
        <v>1.2999999999999999E-12</v>
      </c>
      <c r="E20" s="598">
        <f>$B20+$B20*SSP_parameters_assumptions!G47</f>
        <v>1.495E-12</v>
      </c>
      <c r="F20" s="598">
        <f>$B20+$B20*SSP_parameters_assumptions!H47</f>
        <v>1.1049999999999998E-12</v>
      </c>
      <c r="G20" s="598">
        <f>$B20+$B20*SSP_parameters_assumptions!I47</f>
        <v>1.95E-12</v>
      </c>
    </row>
    <row r="21" spans="1:7" x14ac:dyDescent="0.2">
      <c r="A21" s="582" t="s">
        <v>63</v>
      </c>
      <c r="B21" s="552">
        <v>0.2</v>
      </c>
      <c r="C21" s="598">
        <f>$B21+$B21*SSP_parameters_assumptions!E49</f>
        <v>0.23</v>
      </c>
      <c r="D21" s="598">
        <f>$B21+$B21*SSP_parameters_assumptions!F49</f>
        <v>0.2</v>
      </c>
      <c r="E21" s="598">
        <f>$B21+$B21*SSP_parameters_assumptions!G49</f>
        <v>0.14000000000000001</v>
      </c>
      <c r="F21" s="598">
        <f>$B21+$B21*SSP_parameters_assumptions!H49</f>
        <v>0.18</v>
      </c>
      <c r="G21" s="598">
        <f>$B21+$B21*SSP_parameters_assumptions!I49</f>
        <v>0.2</v>
      </c>
    </row>
    <row r="22" spans="1:7" x14ac:dyDescent="0.2">
      <c r="A22" s="582" t="s">
        <v>69</v>
      </c>
      <c r="B22" s="552">
        <v>50</v>
      </c>
      <c r="C22" s="598">
        <f>$B22+$B22*SSP_parameters_assumptions!E50</f>
        <v>42.5</v>
      </c>
      <c r="D22" s="598">
        <f>$B22+$B22*SSP_parameters_assumptions!F50</f>
        <v>50</v>
      </c>
      <c r="E22" s="598">
        <f>$B22+$B22*SSP_parameters_assumptions!G50</f>
        <v>65</v>
      </c>
      <c r="F22" s="598">
        <f>$B22+$B22*SSP_parameters_assumptions!H50</f>
        <v>55</v>
      </c>
      <c r="G22" s="598">
        <f>$B22+$B22*SSP_parameters_assumptions!I50</f>
        <v>50</v>
      </c>
    </row>
    <row r="23" spans="1:7" x14ac:dyDescent="0.2">
      <c r="A23" s="552" t="s">
        <v>82</v>
      </c>
      <c r="B23" s="552">
        <v>5</v>
      </c>
      <c r="C23" s="598">
        <f>$B23+$B23*SSP_parameters_assumptions!E54</f>
        <v>6.25</v>
      </c>
      <c r="D23" s="598">
        <f>$B23+$B23*SSP_parameters_assumptions!F54</f>
        <v>5</v>
      </c>
      <c r="E23" s="598">
        <f>$B23+$B23*SSP_parameters_assumptions!G54</f>
        <v>4.25</v>
      </c>
      <c r="F23" s="598">
        <f>$B23+$B23*SSP_parameters_assumptions!H54</f>
        <v>5.75</v>
      </c>
      <c r="G23" s="598">
        <f>$B23+$B23*SSP_parameters_assumptions!I54</f>
        <v>2.5</v>
      </c>
    </row>
    <row r="24" spans="1:7" ht="14.25" customHeight="1" x14ac:dyDescent="0.2">
      <c r="A24" s="582" t="s">
        <v>171</v>
      </c>
      <c r="B24" s="552">
        <v>900000</v>
      </c>
      <c r="C24" s="598">
        <f>$B24+$B24*SSP_parameters_assumptions!E55</f>
        <v>675000</v>
      </c>
      <c r="D24" s="598">
        <f>$B24+$B24*SSP_parameters_assumptions!F55</f>
        <v>900000</v>
      </c>
      <c r="E24" s="598">
        <f>$B24+$B24*SSP_parameters_assumptions!G55</f>
        <v>1035000</v>
      </c>
      <c r="F24" s="598">
        <f>$B24+$B24*SSP_parameters_assumptions!H55</f>
        <v>765000</v>
      </c>
      <c r="G24" s="598">
        <f>$B24+$B24*SSP_parameters_assumptions!I55</f>
        <v>1350000</v>
      </c>
    </row>
    <row r="25" spans="1:7" x14ac:dyDescent="0.2">
      <c r="A25" s="552" t="s">
        <v>55</v>
      </c>
      <c r="B25" s="552">
        <v>10</v>
      </c>
      <c r="C25" s="598">
        <f>$B25+$B25*SSP_parameters_assumptions!E58</f>
        <v>6</v>
      </c>
      <c r="D25" s="598">
        <f>$B25+$B25*SSP_parameters_assumptions!F58</f>
        <v>10</v>
      </c>
      <c r="E25" s="598">
        <f>$B25+$B25*SSP_parameters_assumptions!G58</f>
        <v>17.5</v>
      </c>
      <c r="F25" s="598">
        <f>$B25+$B25*SSP_parameters_assumptions!H58</f>
        <v>13</v>
      </c>
      <c r="G25" s="598">
        <f>$B25+$B25*SSP_parameters_assumptions!I58</f>
        <v>10</v>
      </c>
    </row>
    <row r="26" spans="1:7" x14ac:dyDescent="0.2">
      <c r="A26" s="552" t="s">
        <v>127</v>
      </c>
      <c r="B26" s="552">
        <v>7500000000</v>
      </c>
      <c r="C26" s="603">
        <v>0</v>
      </c>
      <c r="D26" s="603">
        <v>2500000000</v>
      </c>
      <c r="E26" s="603">
        <v>10000000000</v>
      </c>
      <c r="F26" s="603">
        <v>7500000000</v>
      </c>
      <c r="G26" s="603">
        <v>10000000000</v>
      </c>
    </row>
    <row r="27" spans="1:7" x14ac:dyDescent="0.2">
      <c r="A27" s="552" t="s">
        <v>1061</v>
      </c>
      <c r="B27" s="552"/>
      <c r="C27" s="603">
        <v>1</v>
      </c>
      <c r="D27" s="603">
        <v>1</v>
      </c>
      <c r="E27" s="603">
        <v>0</v>
      </c>
      <c r="F27" s="603">
        <v>1</v>
      </c>
      <c r="G27" s="603">
        <v>0</v>
      </c>
    </row>
    <row r="28" spans="1:7" ht="14.25" customHeight="1" x14ac:dyDescent="0.2">
      <c r="A28" s="552" t="s">
        <v>89</v>
      </c>
      <c r="B28" s="552">
        <v>5</v>
      </c>
      <c r="C28" s="598">
        <v>5.5</v>
      </c>
      <c r="D28" s="598">
        <v>5</v>
      </c>
      <c r="E28" s="598">
        <v>2.5</v>
      </c>
      <c r="F28" s="598">
        <v>5</v>
      </c>
      <c r="G28" s="598">
        <v>5.25</v>
      </c>
    </row>
    <row r="29" spans="1:7" ht="14.25" customHeight="1" x14ac:dyDescent="0.2">
      <c r="A29" s="582" t="s">
        <v>110</v>
      </c>
      <c r="B29" s="552">
        <v>1</v>
      </c>
      <c r="C29" s="598">
        <f>$B29+$B29*SSP_parameters_assumptions!E73</f>
        <v>0.5</v>
      </c>
      <c r="D29" s="598">
        <f>$B29+$B29*SSP_parameters_assumptions!F73</f>
        <v>1</v>
      </c>
      <c r="E29" s="598">
        <f>$B29+$B29*SSP_parameters_assumptions!G73</f>
        <v>1.5</v>
      </c>
      <c r="F29" s="598">
        <f>$B29+$B29*SSP_parameters_assumptions!H73</f>
        <v>0.75</v>
      </c>
      <c r="G29" s="598">
        <f>$B29+$B29*SSP_parameters_assumptions!I73</f>
        <v>0.8</v>
      </c>
    </row>
    <row r="30" spans="1:7" x14ac:dyDescent="0.2">
      <c r="A30" s="582" t="s">
        <v>114</v>
      </c>
      <c r="B30" s="552">
        <v>1</v>
      </c>
      <c r="C30" s="598">
        <f>$B30+$B30*SSP_parameters_assumptions!E74</f>
        <v>0.9</v>
      </c>
      <c r="D30" s="598">
        <f>$B30+$B30*SSP_parameters_assumptions!F74</f>
        <v>1</v>
      </c>
      <c r="E30" s="598">
        <f>$B30+$B30*SSP_parameters_assumptions!G74</f>
        <v>1.05</v>
      </c>
      <c r="F30" s="598">
        <f>$B30+$B30*SSP_parameters_assumptions!H74</f>
        <v>0.95</v>
      </c>
      <c r="G30" s="598">
        <f>$B30+$B30*SSP_parameters_assumptions!I74</f>
        <v>1.1000000000000001</v>
      </c>
    </row>
    <row r="31" spans="1:7" x14ac:dyDescent="0.2">
      <c r="A31" s="582" t="s">
        <v>115</v>
      </c>
      <c r="B31" s="552">
        <v>1</v>
      </c>
      <c r="C31" s="598">
        <f>$B31+$B31*SSP_parameters_assumptions!E75</f>
        <v>0.9</v>
      </c>
      <c r="D31" s="598">
        <f>$B31+$B31*SSP_parameters_assumptions!F75</f>
        <v>1</v>
      </c>
      <c r="E31" s="598">
        <f>$B31+$B31*SSP_parameters_assumptions!G75</f>
        <v>1.05</v>
      </c>
      <c r="F31" s="598">
        <f>$B31+$B31*SSP_parameters_assumptions!H75</f>
        <v>0.95</v>
      </c>
      <c r="G31" s="598">
        <f>$B31+$B31*SSP_parameters_assumptions!I75</f>
        <v>1.1000000000000001</v>
      </c>
    </row>
    <row r="32" spans="1:7" ht="14.25" customHeight="1" x14ac:dyDescent="0.2">
      <c r="A32" s="552" t="s">
        <v>117</v>
      </c>
      <c r="B32" s="506">
        <v>0.01</v>
      </c>
      <c r="C32" s="598">
        <f>$B32+$B32*SSP_parameters_assumptions!E78</f>
        <v>5.0000000000000001E-3</v>
      </c>
      <c r="D32" s="598">
        <f>$B32+$B32*SSP_parameters_assumptions!F78</f>
        <v>0.01</v>
      </c>
      <c r="E32" s="598">
        <v>6.7000000000000002E-3</v>
      </c>
      <c r="F32" s="598">
        <f>$B32+$B32*SSP_parameters_assumptions!H78</f>
        <v>5.4999999999999997E-3</v>
      </c>
      <c r="G32" s="598">
        <f>$B32+$B32*SSP_parameters_assumptions!I78</f>
        <v>1.2500000000000001E-2</v>
      </c>
    </row>
    <row r="33" spans="1:7" x14ac:dyDescent="0.2">
      <c r="A33" s="582" t="s">
        <v>118</v>
      </c>
      <c r="B33" s="506">
        <v>3.0000000000000001E-3</v>
      </c>
      <c r="C33" s="598">
        <f>$B33+$B33*SSP_parameters_assumptions!E79</f>
        <v>4.5000000000000005E-3</v>
      </c>
      <c r="D33" s="598">
        <f>$B33+$B33*SSP_parameters_assumptions!F79</f>
        <v>3.0000000000000001E-3</v>
      </c>
      <c r="E33" s="598">
        <f>$B33+$B33*SSP_parameters_assumptions!G79</f>
        <v>2.4000000000000002E-3</v>
      </c>
      <c r="F33" s="598">
        <f>$B33+$B33*SSP_parameters_assumptions!H79</f>
        <v>4.3499999999999997E-3</v>
      </c>
      <c r="G33" s="598">
        <f>$B33+$B33*SSP_parameters_assumptions!I79</f>
        <v>2.2500000000000003E-3</v>
      </c>
    </row>
    <row r="34" spans="1:7" x14ac:dyDescent="0.2">
      <c r="A34" s="582" t="s">
        <v>119</v>
      </c>
      <c r="B34" s="506">
        <v>0.04</v>
      </c>
      <c r="C34" s="598">
        <f>$B34+$B34*SSP_parameters_assumptions!E80</f>
        <v>4.2000000000000003E-2</v>
      </c>
      <c r="D34" s="598">
        <f>$B34+$B34*SSP_parameters_assumptions!F80</f>
        <v>0.04</v>
      </c>
      <c r="E34" s="598">
        <f>$B34+$B34*SSP_parameters_assumptions!G80</f>
        <v>4.2000000000000003E-2</v>
      </c>
      <c r="F34" s="598">
        <f>$B34+$B34*SSP_parameters_assumptions!H80</f>
        <v>0.04</v>
      </c>
      <c r="G34" s="598">
        <f>$B34+$B34*SSP_parameters_assumptions!I80</f>
        <v>4.2000000000000003E-2</v>
      </c>
    </row>
    <row r="35" spans="1:7" x14ac:dyDescent="0.2">
      <c r="A35" s="582" t="s">
        <v>126</v>
      </c>
      <c r="B35" s="552">
        <v>1.2</v>
      </c>
      <c r="C35" s="598">
        <f>$B35+$B35*SSP_parameters_assumptions!E81</f>
        <v>1.5</v>
      </c>
      <c r="D35" s="598">
        <f>$B35+$B35*SSP_parameters_assumptions!F81</f>
        <v>1.2</v>
      </c>
      <c r="E35" s="598">
        <f>$B35+$B35*SSP_parameters_assumptions!G81</f>
        <v>1.08</v>
      </c>
      <c r="F35" s="598">
        <f>$B35+$B35*SSP_parameters_assumptions!H81</f>
        <v>1.44</v>
      </c>
      <c r="G35" s="598">
        <f>$B35+$B35*SSP_parameters_assumptions!I81</f>
        <v>1.08</v>
      </c>
    </row>
    <row r="36" spans="1:7" x14ac:dyDescent="0.2">
      <c r="A36" s="582" t="s">
        <v>1605</v>
      </c>
      <c r="C36" s="553">
        <v>1</v>
      </c>
      <c r="D36" s="553">
        <v>2</v>
      </c>
      <c r="E36" s="553">
        <v>4</v>
      </c>
      <c r="F36" s="553">
        <v>3</v>
      </c>
      <c r="G36" s="553">
        <v>4</v>
      </c>
    </row>
    <row r="37" spans="1:7" x14ac:dyDescent="0.2">
      <c r="A37" s="582" t="s">
        <v>1601</v>
      </c>
      <c r="C37" s="553">
        <v>1</v>
      </c>
      <c r="D37" s="553">
        <v>1</v>
      </c>
      <c r="E37" s="553">
        <v>0</v>
      </c>
      <c r="F37" s="553">
        <v>1</v>
      </c>
      <c r="G37" s="553">
        <v>0</v>
      </c>
    </row>
    <row r="38" spans="1:7" x14ac:dyDescent="0.2">
      <c r="A38" s="582" t="s">
        <v>1607</v>
      </c>
      <c r="C38" s="553">
        <v>2025</v>
      </c>
      <c r="D38" s="553">
        <v>2040</v>
      </c>
      <c r="E38" s="553">
        <v>2100</v>
      </c>
      <c r="F38" s="553">
        <v>2040</v>
      </c>
      <c r="G38" s="553">
        <v>2040</v>
      </c>
    </row>
  </sheetData>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30" customWidth="1"/>
    <col min="6" max="16384" width="9" style="43"/>
  </cols>
  <sheetData>
    <row r="1" spans="1:7" s="26" customFormat="1" ht="124.9" customHeight="1" x14ac:dyDescent="0.25">
      <c r="A1" s="580"/>
      <c r="B1" s="580"/>
      <c r="C1" s="88" t="s">
        <v>3</v>
      </c>
      <c r="D1" s="88" t="s">
        <v>1550</v>
      </c>
      <c r="E1" s="155" t="s">
        <v>0</v>
      </c>
      <c r="F1" s="26" t="s">
        <v>1</v>
      </c>
      <c r="G1" s="26" t="s">
        <v>2</v>
      </c>
    </row>
    <row r="2" spans="1:7" ht="14.25" customHeight="1" x14ac:dyDescent="0.25">
      <c r="A2" s="663" t="s">
        <v>142</v>
      </c>
      <c r="B2" s="663" t="s">
        <v>1546</v>
      </c>
      <c r="C2" s="91" t="s">
        <v>6</v>
      </c>
      <c r="D2" s="157">
        <v>0.05</v>
      </c>
      <c r="E2" s="364">
        <v>9.3894199999999994</v>
      </c>
      <c r="F2" s="43">
        <f>E2-E2*D2</f>
        <v>8.919948999999999</v>
      </c>
      <c r="G2" s="43">
        <f>E2+E2*D2</f>
        <v>9.8588909999999998</v>
      </c>
    </row>
    <row r="3" spans="1:7" x14ac:dyDescent="0.25">
      <c r="A3" s="663"/>
      <c r="B3" s="663"/>
      <c r="C3" s="91" t="s">
        <v>5</v>
      </c>
      <c r="D3" s="157">
        <v>0.05</v>
      </c>
      <c r="E3" s="364">
        <v>28.935600000000001</v>
      </c>
      <c r="F3" s="355">
        <f t="shared" ref="F3:F26" si="0">E3-E3*D3</f>
        <v>27.48882</v>
      </c>
      <c r="G3" s="355">
        <f t="shared" ref="G3:G26" si="1">E3+E3*D3</f>
        <v>30.382380000000001</v>
      </c>
    </row>
    <row r="4" spans="1:7" x14ac:dyDescent="0.25">
      <c r="A4" s="663"/>
      <c r="B4" s="663" t="s">
        <v>1537</v>
      </c>
      <c r="C4" s="91" t="s">
        <v>1534</v>
      </c>
      <c r="D4" s="157">
        <v>0.1</v>
      </c>
      <c r="E4" s="364">
        <v>0.60223800000000005</v>
      </c>
      <c r="F4" s="355">
        <f t="shared" si="0"/>
        <v>0.5420142</v>
      </c>
      <c r="G4" s="355">
        <f t="shared" si="1"/>
        <v>0.6624618000000001</v>
      </c>
    </row>
    <row r="5" spans="1:7" x14ac:dyDescent="0.25">
      <c r="A5" s="663"/>
      <c r="B5" s="663"/>
      <c r="C5" s="91" t="s">
        <v>37</v>
      </c>
      <c r="D5" s="157">
        <v>0.15</v>
      </c>
      <c r="E5" s="364">
        <v>7.0000000000000001E-3</v>
      </c>
      <c r="F5" s="355">
        <f t="shared" si="0"/>
        <v>5.9500000000000004E-3</v>
      </c>
      <c r="G5" s="355">
        <f t="shared" si="1"/>
        <v>8.0499999999999999E-3</v>
      </c>
    </row>
    <row r="6" spans="1:7" x14ac:dyDescent="0.25">
      <c r="A6" s="663"/>
      <c r="B6" s="663"/>
      <c r="C6" s="91" t="s">
        <v>38</v>
      </c>
      <c r="D6" s="157">
        <v>0.15</v>
      </c>
      <c r="E6" s="364">
        <v>5.0000000000000001E-3</v>
      </c>
      <c r="F6" s="355">
        <f t="shared" si="0"/>
        <v>4.2500000000000003E-3</v>
      </c>
      <c r="G6" s="355">
        <f t="shared" si="1"/>
        <v>5.7499999999999999E-3</v>
      </c>
    </row>
    <row r="7" spans="1:7" x14ac:dyDescent="0.25">
      <c r="A7" s="663"/>
      <c r="B7" s="663"/>
      <c r="C7" s="91" t="s">
        <v>1533</v>
      </c>
      <c r="D7" s="157">
        <v>0.1</v>
      </c>
      <c r="E7" s="364">
        <v>0.79222000000000004</v>
      </c>
      <c r="F7" s="355">
        <f t="shared" si="0"/>
        <v>0.71299800000000002</v>
      </c>
      <c r="G7" s="355">
        <f t="shared" si="1"/>
        <v>0.87144200000000005</v>
      </c>
    </row>
    <row r="8" spans="1:7" x14ac:dyDescent="0.25">
      <c r="A8" s="663"/>
      <c r="B8" s="663" t="s">
        <v>1547</v>
      </c>
      <c r="C8" s="91" t="s">
        <v>39</v>
      </c>
      <c r="D8" s="157">
        <v>0.1</v>
      </c>
      <c r="E8" s="581">
        <v>0.47792200000000001</v>
      </c>
      <c r="F8" s="355">
        <f t="shared" si="0"/>
        <v>0.43012980000000001</v>
      </c>
      <c r="G8" s="355">
        <f t="shared" si="1"/>
        <v>0.52571420000000002</v>
      </c>
    </row>
    <row r="9" spans="1:7" x14ac:dyDescent="0.25">
      <c r="A9" s="663"/>
      <c r="B9" s="663"/>
      <c r="C9" s="91" t="s">
        <v>40</v>
      </c>
      <c r="D9" s="157">
        <v>0.1</v>
      </c>
      <c r="E9" s="581">
        <v>0.81459199999999998</v>
      </c>
      <c r="F9" s="355">
        <f t="shared" si="0"/>
        <v>0.73313279999999992</v>
      </c>
      <c r="G9" s="355">
        <f t="shared" si="1"/>
        <v>0.89605120000000005</v>
      </c>
    </row>
    <row r="10" spans="1:7" x14ac:dyDescent="0.25">
      <c r="A10" s="663" t="s">
        <v>1542</v>
      </c>
      <c r="B10" s="663" t="s">
        <v>1548</v>
      </c>
      <c r="C10" s="89" t="s">
        <v>44</v>
      </c>
      <c r="D10" s="157">
        <v>0.1</v>
      </c>
      <c r="E10" s="581">
        <v>1.7999999999999999E-6</v>
      </c>
      <c r="F10" s="355">
        <f t="shared" si="0"/>
        <v>1.6199999999999999E-6</v>
      </c>
      <c r="G10" s="355">
        <f t="shared" si="1"/>
        <v>1.9800000000000001E-6</v>
      </c>
    </row>
    <row r="11" spans="1:7" x14ac:dyDescent="0.25">
      <c r="A11" s="663"/>
      <c r="B11" s="663"/>
      <c r="C11" s="91" t="s">
        <v>50</v>
      </c>
      <c r="D11" s="157">
        <v>0.15</v>
      </c>
      <c r="E11" s="581">
        <v>1.8</v>
      </c>
      <c r="F11" s="355">
        <f t="shared" si="0"/>
        <v>1.53</v>
      </c>
      <c r="G11" s="355">
        <f t="shared" si="1"/>
        <v>2.0700000000000003</v>
      </c>
    </row>
    <row r="12" spans="1:7" x14ac:dyDescent="0.25">
      <c r="A12" s="663"/>
      <c r="B12" s="663"/>
      <c r="C12" s="530" t="s">
        <v>1492</v>
      </c>
      <c r="D12" s="157">
        <v>0.15</v>
      </c>
      <c r="E12" s="581">
        <v>8.125</v>
      </c>
      <c r="F12" s="355">
        <f t="shared" si="0"/>
        <v>6.90625</v>
      </c>
      <c r="G12" s="355">
        <f t="shared" si="1"/>
        <v>9.34375</v>
      </c>
    </row>
    <row r="13" spans="1:7" x14ac:dyDescent="0.25">
      <c r="A13" s="663"/>
      <c r="B13" s="663"/>
      <c r="C13" s="530" t="s">
        <v>1493</v>
      </c>
      <c r="D13" s="157">
        <v>0.15</v>
      </c>
      <c r="E13" s="581">
        <v>2.25</v>
      </c>
      <c r="F13" s="355">
        <f t="shared" si="0"/>
        <v>1.9125000000000001</v>
      </c>
      <c r="G13" s="355">
        <f t="shared" si="1"/>
        <v>2.5874999999999999</v>
      </c>
    </row>
    <row r="14" spans="1:7" x14ac:dyDescent="0.25">
      <c r="A14" s="663"/>
      <c r="B14" s="663"/>
      <c r="C14" s="530" t="s">
        <v>1494</v>
      </c>
      <c r="D14" s="157">
        <v>0.15</v>
      </c>
      <c r="E14" s="581">
        <v>5.25</v>
      </c>
      <c r="F14" s="355">
        <f t="shared" si="0"/>
        <v>4.4625000000000004</v>
      </c>
      <c r="G14" s="355">
        <f t="shared" si="1"/>
        <v>6.0374999999999996</v>
      </c>
    </row>
    <row r="15" spans="1:7" x14ac:dyDescent="0.25">
      <c r="A15" s="663"/>
      <c r="B15" s="663" t="s">
        <v>1538</v>
      </c>
      <c r="C15" s="89" t="s">
        <v>71</v>
      </c>
      <c r="D15" s="157">
        <v>0.15</v>
      </c>
      <c r="E15" s="581">
        <v>0.02</v>
      </c>
      <c r="F15" s="355">
        <f t="shared" si="0"/>
        <v>1.7000000000000001E-2</v>
      </c>
      <c r="G15" s="355">
        <f t="shared" si="1"/>
        <v>2.3E-2</v>
      </c>
    </row>
    <row r="16" spans="1:7" x14ac:dyDescent="0.25">
      <c r="A16" s="663"/>
      <c r="B16" s="663"/>
      <c r="C16" s="89" t="s">
        <v>75</v>
      </c>
      <c r="D16" s="157">
        <v>0.15</v>
      </c>
      <c r="E16" s="581">
        <v>0.03</v>
      </c>
      <c r="F16" s="355">
        <f t="shared" si="0"/>
        <v>2.5499999999999998E-2</v>
      </c>
      <c r="G16" s="355">
        <f t="shared" si="1"/>
        <v>3.4499999999999996E-2</v>
      </c>
    </row>
    <row r="17" spans="1:7" x14ac:dyDescent="0.25">
      <c r="A17" s="663"/>
      <c r="B17" s="663"/>
      <c r="C17" s="89" t="s">
        <v>79</v>
      </c>
      <c r="D17" s="157">
        <v>0.15</v>
      </c>
      <c r="E17" s="581">
        <v>0.26249999999999996</v>
      </c>
      <c r="F17" s="355">
        <f t="shared" si="0"/>
        <v>0.22312499999999996</v>
      </c>
      <c r="G17" s="355">
        <f t="shared" si="1"/>
        <v>0.30187499999999995</v>
      </c>
    </row>
    <row r="18" spans="1:7" x14ac:dyDescent="0.25">
      <c r="A18" s="663"/>
      <c r="B18" s="663"/>
      <c r="C18" s="93" t="s">
        <v>1495</v>
      </c>
      <c r="D18" s="157">
        <v>0.15</v>
      </c>
      <c r="E18" s="581">
        <v>10500000000</v>
      </c>
      <c r="F18" s="355">
        <f t="shared" si="0"/>
        <v>8925000000</v>
      </c>
      <c r="G18" s="355">
        <f t="shared" si="1"/>
        <v>12075000000</v>
      </c>
    </row>
    <row r="19" spans="1:7" x14ac:dyDescent="0.25">
      <c r="A19" s="663"/>
      <c r="B19" s="663"/>
      <c r="C19" s="93" t="s">
        <v>1496</v>
      </c>
      <c r="D19" s="157">
        <v>0.15</v>
      </c>
      <c r="E19" s="581">
        <v>2750</v>
      </c>
      <c r="F19" s="355">
        <f t="shared" si="0"/>
        <v>2337.5</v>
      </c>
      <c r="G19" s="355">
        <f t="shared" si="1"/>
        <v>3162.5</v>
      </c>
    </row>
    <row r="20" spans="1:7" x14ac:dyDescent="0.25">
      <c r="A20" s="663"/>
      <c r="B20" s="663" t="s">
        <v>1549</v>
      </c>
      <c r="C20" s="91" t="s">
        <v>56</v>
      </c>
      <c r="D20" s="157">
        <v>0.15</v>
      </c>
      <c r="E20" s="581">
        <v>2.2999999999999998</v>
      </c>
      <c r="F20" s="355">
        <f t="shared" si="0"/>
        <v>1.9549999999999998</v>
      </c>
      <c r="G20" s="355">
        <f t="shared" si="1"/>
        <v>2.6449999999999996</v>
      </c>
    </row>
    <row r="21" spans="1:7" x14ac:dyDescent="0.25">
      <c r="A21" s="663"/>
      <c r="B21" s="663"/>
      <c r="C21" s="89" t="s">
        <v>61</v>
      </c>
      <c r="D21" s="157">
        <v>0.15</v>
      </c>
      <c r="E21" s="581">
        <v>10500000</v>
      </c>
      <c r="F21" s="355">
        <f t="shared" si="0"/>
        <v>8925000</v>
      </c>
      <c r="G21" s="355">
        <f t="shared" si="1"/>
        <v>12075000</v>
      </c>
    </row>
    <row r="22" spans="1:7" ht="30" x14ac:dyDescent="0.25">
      <c r="A22" s="663" t="s">
        <v>1541</v>
      </c>
      <c r="B22" s="591" t="s">
        <v>1539</v>
      </c>
      <c r="C22" s="89" t="s">
        <v>88</v>
      </c>
      <c r="D22" s="157">
        <v>0.1</v>
      </c>
      <c r="E22" s="581">
        <v>0.90249999999999997</v>
      </c>
      <c r="F22" s="355">
        <f t="shared" si="0"/>
        <v>0.81224999999999992</v>
      </c>
      <c r="G22" s="355">
        <v>1</v>
      </c>
    </row>
    <row r="23" spans="1:7" x14ac:dyDescent="0.25">
      <c r="A23" s="663"/>
      <c r="B23" s="663" t="s">
        <v>168</v>
      </c>
      <c r="C23" s="91" t="s">
        <v>109</v>
      </c>
      <c r="D23" s="157">
        <v>0.15</v>
      </c>
      <c r="E23" s="581">
        <v>8.7500000000000008E-2</v>
      </c>
      <c r="F23" s="355">
        <f t="shared" si="0"/>
        <v>7.4375000000000011E-2</v>
      </c>
      <c r="G23" s="355">
        <f t="shared" si="1"/>
        <v>0.10062500000000001</v>
      </c>
    </row>
    <row r="24" spans="1:7" x14ac:dyDescent="0.25">
      <c r="A24" s="663"/>
      <c r="B24" s="663"/>
      <c r="C24" s="89" t="s">
        <v>107</v>
      </c>
      <c r="D24" s="157">
        <v>0.15</v>
      </c>
      <c r="E24" s="581">
        <v>0.34499999999999997</v>
      </c>
      <c r="F24" s="355">
        <f t="shared" si="0"/>
        <v>0.29324999999999996</v>
      </c>
      <c r="G24" s="355">
        <f t="shared" si="1"/>
        <v>0.39674999999999999</v>
      </c>
    </row>
    <row r="25" spans="1:7" x14ac:dyDescent="0.25">
      <c r="A25" s="663"/>
      <c r="B25" s="591" t="s">
        <v>1540</v>
      </c>
      <c r="C25" s="91" t="s">
        <v>116</v>
      </c>
      <c r="D25" s="157">
        <v>0.15</v>
      </c>
      <c r="E25" s="581">
        <v>0.9</v>
      </c>
      <c r="F25" s="355">
        <f t="shared" si="0"/>
        <v>0.76500000000000001</v>
      </c>
      <c r="G25" s="355">
        <f t="shared" si="1"/>
        <v>1.0350000000000001</v>
      </c>
    </row>
    <row r="26" spans="1:7" x14ac:dyDescent="0.25">
      <c r="A26" s="663"/>
      <c r="B26" s="663" t="s">
        <v>1523</v>
      </c>
      <c r="C26" s="91" t="s">
        <v>120</v>
      </c>
      <c r="D26" s="157">
        <v>0.05</v>
      </c>
      <c r="E26" s="581">
        <v>1505.34</v>
      </c>
      <c r="F26" s="355">
        <f t="shared" si="0"/>
        <v>1430.0729999999999</v>
      </c>
      <c r="G26" s="355">
        <f t="shared" si="1"/>
        <v>1580.607</v>
      </c>
    </row>
    <row r="27" spans="1:7" x14ac:dyDescent="0.25">
      <c r="A27" s="663"/>
      <c r="B27" s="663"/>
      <c r="C27" s="584" t="s">
        <v>134</v>
      </c>
      <c r="D27" s="585" t="s">
        <v>1545</v>
      </c>
      <c r="E27" s="586">
        <v>4</v>
      </c>
      <c r="F27" s="587">
        <v>3</v>
      </c>
      <c r="G27" s="587">
        <v>4.99</v>
      </c>
    </row>
    <row r="28" spans="1:7" x14ac:dyDescent="0.25">
      <c r="A28" s="664" t="s">
        <v>1544</v>
      </c>
      <c r="B28" s="659" t="s">
        <v>1543</v>
      </c>
      <c r="C28" s="588" t="s">
        <v>1190</v>
      </c>
      <c r="D28" s="585" t="s">
        <v>1545</v>
      </c>
      <c r="E28" s="586">
        <v>5</v>
      </c>
      <c r="F28" s="587">
        <v>3</v>
      </c>
      <c r="G28" s="587">
        <v>10</v>
      </c>
    </row>
    <row r="29" spans="1:7" x14ac:dyDescent="0.25">
      <c r="A29" s="664"/>
      <c r="B29" s="659"/>
      <c r="C29" s="588" t="s">
        <v>1191</v>
      </c>
      <c r="D29" s="585" t="s">
        <v>1545</v>
      </c>
      <c r="E29" s="586">
        <v>5</v>
      </c>
      <c r="F29" s="587">
        <v>3</v>
      </c>
      <c r="G29" s="587">
        <v>10</v>
      </c>
    </row>
    <row r="30" spans="1:7" x14ac:dyDescent="0.25">
      <c r="A30" s="664"/>
      <c r="B30" s="659"/>
      <c r="C30" s="588" t="s">
        <v>1192</v>
      </c>
      <c r="D30" s="585" t="s">
        <v>1545</v>
      </c>
      <c r="E30" s="586">
        <v>5</v>
      </c>
      <c r="F30" s="587">
        <v>3</v>
      </c>
      <c r="G30" s="587">
        <v>10</v>
      </c>
    </row>
    <row r="31" spans="1:7" x14ac:dyDescent="0.25">
      <c r="A31" s="664"/>
      <c r="B31" s="659"/>
      <c r="C31" s="588" t="s">
        <v>1193</v>
      </c>
      <c r="D31" s="585" t="s">
        <v>1545</v>
      </c>
      <c r="E31" s="586">
        <v>5</v>
      </c>
      <c r="F31" s="587">
        <v>3</v>
      </c>
      <c r="G31" s="587">
        <v>10</v>
      </c>
    </row>
    <row r="32" spans="1:7" x14ac:dyDescent="0.25">
      <c r="A32" s="664"/>
      <c r="B32" s="659"/>
      <c r="C32" s="588" t="s">
        <v>1194</v>
      </c>
      <c r="D32" s="585" t="s">
        <v>1545</v>
      </c>
      <c r="E32" s="586">
        <v>5</v>
      </c>
      <c r="F32" s="587">
        <v>3</v>
      </c>
      <c r="G32" s="587">
        <v>10</v>
      </c>
    </row>
    <row r="33" spans="1:7" x14ac:dyDescent="0.25">
      <c r="A33" s="664"/>
      <c r="B33" s="659"/>
      <c r="C33" s="588" t="s">
        <v>1195</v>
      </c>
      <c r="D33" s="585" t="s">
        <v>1545</v>
      </c>
      <c r="E33" s="586">
        <v>5</v>
      </c>
      <c r="F33" s="587">
        <v>3</v>
      </c>
      <c r="G33" s="587">
        <v>10</v>
      </c>
    </row>
    <row r="34" spans="1:7" x14ac:dyDescent="0.25">
      <c r="A34" s="655" t="s">
        <v>18</v>
      </c>
      <c r="B34" s="655" t="s">
        <v>1608</v>
      </c>
      <c r="C34" s="89" t="s">
        <v>1606</v>
      </c>
      <c r="D34" s="157">
        <v>0.15</v>
      </c>
      <c r="E34" s="643">
        <v>6</v>
      </c>
      <c r="F34" s="355">
        <f>E34-E34*D34</f>
        <v>5.0999999999999996</v>
      </c>
      <c r="G34" s="355">
        <f>E34+E34*D34</f>
        <v>6.9</v>
      </c>
    </row>
    <row r="35" spans="1:7" x14ac:dyDescent="0.25">
      <c r="A35" s="655"/>
      <c r="B35" s="655"/>
      <c r="C35" s="89" t="s">
        <v>1602</v>
      </c>
      <c r="D35" s="157">
        <v>0.15</v>
      </c>
      <c r="E35" s="643">
        <v>7.0000000000000007E-2</v>
      </c>
      <c r="F35" s="355">
        <f>E35-E35*D35</f>
        <v>5.9500000000000004E-2</v>
      </c>
      <c r="G35" s="355">
        <f>E35+E35*D35</f>
        <v>8.0500000000000002E-2</v>
      </c>
    </row>
    <row r="36" spans="1:7" x14ac:dyDescent="0.25">
      <c r="A36" s="655"/>
      <c r="B36" s="655"/>
      <c r="C36" s="89" t="s">
        <v>1603</v>
      </c>
      <c r="D36" s="157">
        <v>0.15</v>
      </c>
      <c r="E36" s="643">
        <v>17500000</v>
      </c>
      <c r="F36" s="355">
        <f>E36-E36*D36</f>
        <v>14875000</v>
      </c>
      <c r="G36" s="355">
        <f>E36+E36*D36</f>
        <v>20125000</v>
      </c>
    </row>
  </sheetData>
  <mergeCells count="15">
    <mergeCell ref="A34:A36"/>
    <mergeCell ref="B34:B36"/>
    <mergeCell ref="B23:B24"/>
    <mergeCell ref="B26:B27"/>
    <mergeCell ref="B28:B33"/>
    <mergeCell ref="A28:A33"/>
    <mergeCell ref="A22:A27"/>
    <mergeCell ref="A2:A9"/>
    <mergeCell ref="B2:B3"/>
    <mergeCell ref="B4:B7"/>
    <mergeCell ref="B8:B9"/>
    <mergeCell ref="A10:A21"/>
    <mergeCell ref="B10:B14"/>
    <mergeCell ref="B15:B19"/>
    <mergeCell ref="B20:B21"/>
  </mergeCells>
  <pageMargins left="0.7" right="0.7" top="0.75" bottom="0.75" header="0.3" footer="0.3"/>
  <pageSetup paperSize="9"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4" sqref="E4"/>
    </sheetView>
  </sheetViews>
  <sheetFormatPr defaultColWidth="9" defaultRowHeight="15" x14ac:dyDescent="0.25"/>
  <cols>
    <col min="1" max="2" width="14.28515625" style="43" customWidth="1"/>
    <col min="3" max="3" width="89.85546875" style="11" customWidth="1"/>
    <col min="4" max="4" width="18" style="30" customWidth="1"/>
    <col min="5" max="5" width="21.5703125" style="30" customWidth="1"/>
    <col min="6" max="6" width="20.85546875" style="30" customWidth="1"/>
    <col min="7" max="7" width="22.85546875" style="30" customWidth="1"/>
    <col min="8" max="8" width="21.42578125" style="30" customWidth="1"/>
    <col min="9" max="9" width="15.42578125" style="30" customWidth="1"/>
    <col min="10" max="10" width="20.140625" style="30" customWidth="1"/>
    <col min="11" max="11" width="18" style="30" customWidth="1"/>
    <col min="12" max="12" width="16" style="11" customWidth="1"/>
    <col min="13" max="16384" width="9" style="11"/>
  </cols>
  <sheetData>
    <row r="1" spans="1:15" s="26" customFormat="1" ht="159.75" customHeight="1" x14ac:dyDescent="0.25">
      <c r="A1" s="44"/>
      <c r="B1" s="44"/>
      <c r="C1" s="61" t="s">
        <v>3</v>
      </c>
      <c r="D1" s="76"/>
      <c r="E1" s="75" t="s">
        <v>136</v>
      </c>
      <c r="F1" s="75" t="s">
        <v>137</v>
      </c>
      <c r="G1" s="75" t="s">
        <v>138</v>
      </c>
      <c r="H1" s="667" t="s">
        <v>139</v>
      </c>
      <c r="I1" s="667"/>
      <c r="J1" s="667"/>
      <c r="K1" s="75" t="s">
        <v>140</v>
      </c>
      <c r="L1" s="360" t="s">
        <v>1439</v>
      </c>
      <c r="M1" s="360"/>
      <c r="N1" s="360" t="s">
        <v>1440</v>
      </c>
    </row>
    <row r="2" spans="1:15" x14ac:dyDescent="0.25">
      <c r="A2" s="44"/>
      <c r="B2" s="44"/>
      <c r="C2" s="62" t="s">
        <v>158</v>
      </c>
      <c r="D2" s="76" t="s">
        <v>188</v>
      </c>
      <c r="E2" s="76" t="s">
        <v>153</v>
      </c>
      <c r="F2" s="76" t="s">
        <v>153</v>
      </c>
      <c r="G2" s="76" t="s">
        <v>153</v>
      </c>
      <c r="H2" s="76" t="s">
        <v>187</v>
      </c>
      <c r="I2" s="76" t="s">
        <v>153</v>
      </c>
      <c r="J2" s="76" t="s">
        <v>186</v>
      </c>
      <c r="K2" s="76" t="s">
        <v>153</v>
      </c>
      <c r="L2" s="360" t="s">
        <v>1438</v>
      </c>
      <c r="M2" s="360" t="s">
        <v>1437</v>
      </c>
      <c r="N2" s="360" t="s">
        <v>1438</v>
      </c>
      <c r="O2" s="360" t="s">
        <v>1437</v>
      </c>
    </row>
    <row r="3" spans="1:15" x14ac:dyDescent="0.25">
      <c r="A3" s="665" t="s">
        <v>142</v>
      </c>
      <c r="B3" s="86"/>
      <c r="C3" s="63"/>
      <c r="D3" s="77"/>
      <c r="E3" s="77"/>
      <c r="F3" s="77"/>
      <c r="G3" s="77"/>
      <c r="H3" s="77"/>
      <c r="I3" s="77"/>
      <c r="J3" s="77"/>
      <c r="K3" s="77"/>
      <c r="L3" s="668"/>
      <c r="M3" s="668"/>
      <c r="N3" s="668"/>
      <c r="O3" s="668"/>
    </row>
    <row r="4" spans="1:15" x14ac:dyDescent="0.25">
      <c r="A4" s="665"/>
      <c r="B4" s="665" t="s">
        <v>178</v>
      </c>
      <c r="C4" s="64" t="s">
        <v>7</v>
      </c>
      <c r="D4" s="78">
        <v>0.51500000000000001</v>
      </c>
      <c r="E4" s="79">
        <v>0.1</v>
      </c>
      <c r="F4" s="79">
        <v>0</v>
      </c>
      <c r="G4" s="79">
        <v>-0.1</v>
      </c>
      <c r="H4" s="79">
        <v>0.1</v>
      </c>
      <c r="I4" s="80"/>
      <c r="J4" s="79">
        <v>-0.1</v>
      </c>
      <c r="K4" s="79">
        <v>0.1</v>
      </c>
      <c r="L4" s="474">
        <v>0</v>
      </c>
      <c r="M4" s="79">
        <v>-0.1</v>
      </c>
      <c r="N4" s="79">
        <v>0.1</v>
      </c>
      <c r="O4" s="79">
        <v>0.1</v>
      </c>
    </row>
    <row r="5" spans="1:15" x14ac:dyDescent="0.25">
      <c r="A5" s="665"/>
      <c r="B5" s="665"/>
      <c r="C5" s="65" t="s">
        <v>6</v>
      </c>
      <c r="D5" s="78">
        <v>12</v>
      </c>
      <c r="E5" s="79">
        <v>-0.1</v>
      </c>
      <c r="F5" s="79">
        <v>0</v>
      </c>
      <c r="G5" s="79">
        <v>0.1</v>
      </c>
      <c r="H5" s="79">
        <v>-0.1</v>
      </c>
      <c r="I5" s="79"/>
      <c r="J5" s="79">
        <v>0.1</v>
      </c>
      <c r="K5" s="79">
        <v>-0.1</v>
      </c>
      <c r="L5" s="474">
        <v>0</v>
      </c>
      <c r="M5" s="79">
        <v>0.1</v>
      </c>
      <c r="N5" s="79">
        <v>-0.1</v>
      </c>
      <c r="O5" s="79">
        <v>-0.1</v>
      </c>
    </row>
    <row r="6" spans="1:15" x14ac:dyDescent="0.25">
      <c r="A6" s="665"/>
      <c r="B6" s="665"/>
      <c r="C6" s="65" t="s">
        <v>5</v>
      </c>
      <c r="D6" s="78">
        <v>28</v>
      </c>
      <c r="E6" s="79">
        <v>0.1</v>
      </c>
      <c r="F6" s="79">
        <v>0</v>
      </c>
      <c r="G6" s="79">
        <v>-0.1</v>
      </c>
      <c r="H6" s="79">
        <v>0</v>
      </c>
      <c r="I6" s="79"/>
      <c r="J6" s="79">
        <v>-0.1</v>
      </c>
      <c r="K6" s="79">
        <v>0.1</v>
      </c>
      <c r="L6" s="79">
        <v>-0.1</v>
      </c>
      <c r="M6" s="79">
        <v>-0.1</v>
      </c>
      <c r="N6" s="474">
        <v>0</v>
      </c>
      <c r="O6" s="79">
        <v>0.1</v>
      </c>
    </row>
    <row r="7" spans="1:15" x14ac:dyDescent="0.25">
      <c r="A7" s="665"/>
      <c r="B7" s="86"/>
      <c r="C7" s="63"/>
      <c r="D7" s="77"/>
      <c r="E7" s="77"/>
      <c r="F7" s="77"/>
      <c r="G7" s="77"/>
      <c r="H7" s="77"/>
      <c r="I7" s="77"/>
      <c r="J7" s="77"/>
      <c r="K7" s="77"/>
      <c r="L7" s="668"/>
      <c r="M7" s="668"/>
      <c r="N7" s="668"/>
      <c r="O7" s="668"/>
    </row>
    <row r="8" spans="1:15" s="13" customFormat="1" x14ac:dyDescent="0.25">
      <c r="A8" s="665"/>
      <c r="B8" s="665" t="s">
        <v>179</v>
      </c>
      <c r="C8" s="65" t="s">
        <v>33</v>
      </c>
      <c r="D8" s="81">
        <v>0</v>
      </c>
      <c r="E8" s="81"/>
      <c r="F8" s="82"/>
      <c r="G8" s="82"/>
      <c r="H8" s="81"/>
      <c r="I8" s="81"/>
      <c r="J8" s="81"/>
      <c r="K8" s="81"/>
      <c r="L8" s="56"/>
      <c r="M8" s="56"/>
      <c r="N8" s="56"/>
      <c r="O8" s="56"/>
    </row>
    <row r="9" spans="1:15" s="13" customFormat="1" x14ac:dyDescent="0.25">
      <c r="A9" s="665"/>
      <c r="B9" s="665"/>
      <c r="C9" s="65" t="s">
        <v>34</v>
      </c>
      <c r="D9" s="81">
        <v>0</v>
      </c>
      <c r="E9" s="81"/>
      <c r="F9" s="82"/>
      <c r="G9" s="82"/>
      <c r="H9" s="81"/>
      <c r="I9" s="81"/>
      <c r="J9" s="81"/>
      <c r="K9" s="81"/>
      <c r="L9" s="56"/>
      <c r="M9" s="56"/>
      <c r="N9" s="56"/>
      <c r="O9" s="56"/>
    </row>
    <row r="10" spans="1:15" s="13" customFormat="1" x14ac:dyDescent="0.25">
      <c r="A10" s="665"/>
      <c r="B10" s="665"/>
      <c r="C10" s="65" t="s">
        <v>35</v>
      </c>
      <c r="D10" s="81">
        <v>0</v>
      </c>
      <c r="E10" s="82"/>
      <c r="F10" s="82"/>
      <c r="G10" s="81"/>
      <c r="H10" s="81"/>
      <c r="I10" s="81"/>
      <c r="J10" s="82"/>
      <c r="K10" s="82"/>
      <c r="L10" s="56"/>
      <c r="M10" s="56"/>
      <c r="N10" s="56"/>
      <c r="O10" s="56"/>
    </row>
    <row r="11" spans="1:15" x14ac:dyDescent="0.25">
      <c r="A11" s="665"/>
      <c r="B11" s="665"/>
      <c r="C11" s="65" t="s">
        <v>36</v>
      </c>
      <c r="D11" s="81">
        <v>0</v>
      </c>
      <c r="E11" s="82"/>
      <c r="F11" s="82"/>
      <c r="G11" s="81"/>
      <c r="H11" s="81"/>
      <c r="I11" s="81"/>
      <c r="J11" s="82"/>
      <c r="K11" s="82"/>
      <c r="L11" s="56"/>
      <c r="M11" s="56"/>
      <c r="N11" s="56"/>
      <c r="O11" s="56"/>
    </row>
    <row r="12" spans="1:15" x14ac:dyDescent="0.25">
      <c r="A12" s="665"/>
      <c r="B12" s="665"/>
      <c r="C12" s="65" t="s">
        <v>37</v>
      </c>
      <c r="D12" s="81">
        <v>0</v>
      </c>
      <c r="E12" s="81"/>
      <c r="F12" s="82"/>
      <c r="G12" s="81"/>
      <c r="H12" s="82"/>
      <c r="I12" s="82"/>
      <c r="J12" s="81"/>
      <c r="K12" s="81"/>
      <c r="L12" s="56"/>
      <c r="M12" s="56"/>
      <c r="N12" s="56"/>
      <c r="O12" s="56"/>
    </row>
    <row r="13" spans="1:15" x14ac:dyDescent="0.25">
      <c r="A13" s="665"/>
      <c r="B13" s="665"/>
      <c r="C13" s="65" t="s">
        <v>38</v>
      </c>
      <c r="D13" s="81">
        <v>0</v>
      </c>
      <c r="E13" s="81"/>
      <c r="F13" s="82"/>
      <c r="G13" s="81"/>
      <c r="H13" s="82"/>
      <c r="I13" s="82"/>
      <c r="J13" s="81"/>
      <c r="K13" s="81"/>
      <c r="L13" s="56"/>
      <c r="M13" s="56"/>
      <c r="N13" s="56"/>
      <c r="O13" s="56"/>
    </row>
    <row r="14" spans="1:15" x14ac:dyDescent="0.25">
      <c r="A14" s="665"/>
      <c r="B14" s="86"/>
      <c r="C14" s="63"/>
      <c r="D14" s="77"/>
      <c r="E14" s="77"/>
      <c r="F14" s="77"/>
      <c r="G14" s="77"/>
      <c r="H14" s="77"/>
      <c r="I14" s="77"/>
      <c r="J14" s="77"/>
      <c r="K14" s="77"/>
      <c r="L14" s="668"/>
      <c r="M14" s="668"/>
      <c r="N14" s="668"/>
      <c r="O14" s="668"/>
    </row>
    <row r="15" spans="1:15" s="13" customFormat="1" x14ac:dyDescent="0.25">
      <c r="A15" s="665"/>
      <c r="B15" s="665" t="s">
        <v>10</v>
      </c>
      <c r="C15" s="65" t="s">
        <v>39</v>
      </c>
      <c r="D15" s="78">
        <v>0.35</v>
      </c>
      <c r="E15" s="79">
        <v>0.25</v>
      </c>
      <c r="F15" s="79">
        <v>0</v>
      </c>
      <c r="G15" s="79">
        <v>-0.25</v>
      </c>
      <c r="H15" s="79">
        <v>0</v>
      </c>
      <c r="I15" s="79"/>
      <c r="J15" s="79">
        <v>-0.25</v>
      </c>
      <c r="K15" s="79">
        <v>0.25</v>
      </c>
      <c r="L15" s="79">
        <v>-0.25</v>
      </c>
      <c r="M15" s="79">
        <v>-0.25</v>
      </c>
      <c r="N15" s="79">
        <v>-0.25</v>
      </c>
      <c r="O15" s="79">
        <v>0.25</v>
      </c>
    </row>
    <row r="16" spans="1:15" s="13" customFormat="1" x14ac:dyDescent="0.25">
      <c r="A16" s="665"/>
      <c r="B16" s="665"/>
      <c r="C16" s="65" t="s">
        <v>40</v>
      </c>
      <c r="D16" s="78">
        <v>0.75</v>
      </c>
      <c r="E16" s="79">
        <v>0.25</v>
      </c>
      <c r="F16" s="79">
        <v>0</v>
      </c>
      <c r="G16" s="79">
        <v>-0.25</v>
      </c>
      <c r="H16" s="79">
        <v>0</v>
      </c>
      <c r="I16" s="79"/>
      <c r="J16" s="79">
        <v>-0.25</v>
      </c>
      <c r="K16" s="79">
        <v>0.25</v>
      </c>
      <c r="L16" s="79">
        <v>-0.25</v>
      </c>
      <c r="M16" s="79">
        <v>-0.25</v>
      </c>
      <c r="N16" s="79">
        <v>-0.25</v>
      </c>
      <c r="O16" s="79">
        <v>0.25</v>
      </c>
    </row>
    <row r="17" spans="1:15" s="13" customFormat="1" x14ac:dyDescent="0.25">
      <c r="A17" s="665"/>
      <c r="B17" s="86"/>
      <c r="C17" s="74"/>
      <c r="D17" s="77"/>
      <c r="E17" s="77"/>
      <c r="F17" s="77"/>
      <c r="G17" s="77"/>
      <c r="H17" s="666"/>
      <c r="I17" s="666"/>
      <c r="J17" s="666"/>
      <c r="K17" s="77"/>
      <c r="L17" s="668"/>
      <c r="M17" s="668"/>
      <c r="N17" s="668"/>
      <c r="O17" s="668"/>
    </row>
    <row r="18" spans="1:15" s="13" customFormat="1" x14ac:dyDescent="0.25">
      <c r="A18" s="665"/>
      <c r="B18" s="665" t="s">
        <v>180</v>
      </c>
      <c r="C18" s="67" t="s">
        <v>97</v>
      </c>
      <c r="D18" s="78">
        <v>1.25</v>
      </c>
      <c r="E18" s="79">
        <v>0.5</v>
      </c>
      <c r="F18" s="79">
        <v>0</v>
      </c>
      <c r="G18" s="79">
        <v>-0.5</v>
      </c>
      <c r="H18" s="79">
        <v>0</v>
      </c>
      <c r="I18" s="79"/>
      <c r="J18" s="79">
        <v>0.5</v>
      </c>
      <c r="K18" s="79">
        <v>0.5</v>
      </c>
      <c r="L18" s="79">
        <v>0</v>
      </c>
      <c r="M18" s="79">
        <v>-0.5</v>
      </c>
      <c r="N18" s="79">
        <v>0</v>
      </c>
      <c r="O18" s="79">
        <v>-0.5</v>
      </c>
    </row>
    <row r="19" spans="1:15" x14ac:dyDescent="0.25">
      <c r="A19" s="665"/>
      <c r="B19" s="665"/>
      <c r="C19" s="68" t="s">
        <v>98</v>
      </c>
      <c r="D19" s="78">
        <v>5</v>
      </c>
      <c r="E19" s="79">
        <v>-0.5</v>
      </c>
      <c r="F19" s="79">
        <v>0</v>
      </c>
      <c r="G19" s="79">
        <v>0.5</v>
      </c>
      <c r="H19" s="79">
        <v>0</v>
      </c>
      <c r="I19" s="79"/>
      <c r="J19" s="79">
        <v>-0.5</v>
      </c>
      <c r="K19" s="79">
        <v>-0.5</v>
      </c>
      <c r="L19" s="79">
        <v>0</v>
      </c>
      <c r="M19" s="79">
        <v>0.5</v>
      </c>
      <c r="N19" s="79">
        <v>0</v>
      </c>
      <c r="O19" s="79">
        <v>0.5</v>
      </c>
    </row>
    <row r="20" spans="1:15" x14ac:dyDescent="0.25">
      <c r="A20" s="659" t="s">
        <v>144</v>
      </c>
      <c r="B20" s="87"/>
      <c r="C20" s="63"/>
      <c r="D20" s="77"/>
      <c r="E20" s="77"/>
      <c r="F20" s="77"/>
      <c r="G20" s="77"/>
      <c r="H20" s="666"/>
      <c r="I20" s="666"/>
      <c r="J20" s="666"/>
      <c r="K20" s="77"/>
      <c r="L20" s="668"/>
      <c r="M20" s="668"/>
      <c r="N20" s="668"/>
      <c r="O20" s="668"/>
    </row>
    <row r="21" spans="1:15" x14ac:dyDescent="0.25">
      <c r="A21" s="659"/>
      <c r="B21" s="665" t="s">
        <v>240</v>
      </c>
      <c r="C21" s="65" t="s">
        <v>50</v>
      </c>
      <c r="D21" s="78">
        <v>1</v>
      </c>
      <c r="E21" s="76">
        <v>-0.25</v>
      </c>
      <c r="F21" s="76">
        <v>0</v>
      </c>
      <c r="G21" s="76">
        <v>0.25</v>
      </c>
      <c r="H21" s="79">
        <v>-0.25</v>
      </c>
      <c r="I21" s="79"/>
      <c r="J21" s="79">
        <v>0.25</v>
      </c>
      <c r="K21" s="76">
        <v>-0.125</v>
      </c>
      <c r="L21" s="76">
        <v>0.25</v>
      </c>
      <c r="M21" s="76">
        <v>0.25</v>
      </c>
      <c r="N21" s="79">
        <v>-0.25</v>
      </c>
      <c r="O21" s="79">
        <v>-0.25</v>
      </c>
    </row>
    <row r="22" spans="1:15" x14ac:dyDescent="0.25">
      <c r="A22" s="659"/>
      <c r="B22" s="665"/>
      <c r="C22" s="64" t="s">
        <v>85</v>
      </c>
      <c r="D22" s="78">
        <v>2</v>
      </c>
      <c r="E22" s="83">
        <v>0.5</v>
      </c>
      <c r="F22" s="83">
        <v>0</v>
      </c>
      <c r="G22" s="83">
        <v>-0.5</v>
      </c>
      <c r="H22" s="83">
        <v>0</v>
      </c>
      <c r="I22" s="83"/>
      <c r="J22" s="83">
        <v>-0.5</v>
      </c>
      <c r="K22" s="83">
        <v>-0.5</v>
      </c>
      <c r="L22" s="83">
        <v>-0.5</v>
      </c>
      <c r="M22" s="83">
        <v>-0.5</v>
      </c>
      <c r="N22" s="83">
        <v>0.5</v>
      </c>
      <c r="O22" s="83">
        <v>0.5</v>
      </c>
    </row>
    <row r="23" spans="1:15" x14ac:dyDescent="0.25">
      <c r="A23" s="659"/>
      <c r="B23" s="87"/>
      <c r="C23" s="63"/>
      <c r="D23" s="77"/>
      <c r="E23" s="77"/>
      <c r="F23" s="77"/>
      <c r="G23" s="77"/>
      <c r="H23" s="666"/>
      <c r="I23" s="666"/>
      <c r="J23" s="666"/>
      <c r="K23" s="77"/>
      <c r="L23" s="668"/>
      <c r="M23" s="668"/>
      <c r="N23" s="668"/>
      <c r="O23" s="668"/>
    </row>
    <row r="24" spans="1:15" x14ac:dyDescent="0.25">
      <c r="A24" s="659"/>
      <c r="B24" s="665" t="s">
        <v>181</v>
      </c>
      <c r="C24" s="67" t="s">
        <v>44</v>
      </c>
      <c r="D24" s="78">
        <v>1.9999999999999999E-6</v>
      </c>
      <c r="E24" s="76">
        <v>0.25</v>
      </c>
      <c r="F24" s="76">
        <v>0</v>
      </c>
      <c r="G24" s="76">
        <v>-0.25</v>
      </c>
      <c r="H24" s="79">
        <v>0</v>
      </c>
      <c r="I24" s="79"/>
      <c r="J24" s="79">
        <v>-0.25</v>
      </c>
      <c r="K24" s="76">
        <v>0.25</v>
      </c>
      <c r="L24" s="76">
        <v>-0.25</v>
      </c>
      <c r="M24" s="79">
        <v>0.25</v>
      </c>
      <c r="N24" s="76">
        <v>-0.25</v>
      </c>
      <c r="O24" s="79">
        <v>0.25</v>
      </c>
    </row>
    <row r="25" spans="1:15" s="43" customFormat="1" x14ac:dyDescent="0.25">
      <c r="A25" s="659"/>
      <c r="B25" s="665"/>
      <c r="C25" s="67" t="s">
        <v>45</v>
      </c>
      <c r="D25" s="78">
        <v>0.6</v>
      </c>
      <c r="E25" s="76">
        <v>-0.25</v>
      </c>
      <c r="F25" s="76">
        <v>0</v>
      </c>
      <c r="G25" s="76">
        <v>0.25</v>
      </c>
      <c r="H25" s="79">
        <v>-0.25</v>
      </c>
      <c r="I25" s="79"/>
      <c r="J25" s="79">
        <v>0.25</v>
      </c>
      <c r="K25" s="79">
        <v>0.25</v>
      </c>
      <c r="L25" s="79">
        <v>0.25</v>
      </c>
      <c r="M25" s="79">
        <v>0.25</v>
      </c>
      <c r="N25" s="76">
        <v>-0.25</v>
      </c>
      <c r="O25" s="76">
        <v>-0.25</v>
      </c>
    </row>
    <row r="26" spans="1:15" s="43" customFormat="1" x14ac:dyDescent="0.25">
      <c r="A26" s="659"/>
      <c r="B26" s="665"/>
      <c r="C26" s="67" t="s">
        <v>46</v>
      </c>
      <c r="D26" s="78">
        <v>0.54</v>
      </c>
      <c r="E26" s="76">
        <v>-0.25</v>
      </c>
      <c r="F26" s="76">
        <v>0</v>
      </c>
      <c r="G26" s="76">
        <v>0.25</v>
      </c>
      <c r="H26" s="79">
        <v>-0.25</v>
      </c>
      <c r="I26" s="79"/>
      <c r="J26" s="79">
        <v>0.25</v>
      </c>
      <c r="K26" s="79">
        <v>0.25</v>
      </c>
      <c r="L26" s="79">
        <v>0.25</v>
      </c>
      <c r="M26" s="79">
        <v>0.25</v>
      </c>
      <c r="N26" s="76">
        <v>-0.25</v>
      </c>
      <c r="O26" s="76">
        <v>-0.25</v>
      </c>
    </row>
    <row r="27" spans="1:15" s="43" customFormat="1" x14ac:dyDescent="0.25">
      <c r="A27" s="659"/>
      <c r="B27" s="665"/>
      <c r="C27" s="67" t="s">
        <v>47</v>
      </c>
      <c r="D27" s="78">
        <v>0.89</v>
      </c>
      <c r="E27" s="76">
        <v>-0.25</v>
      </c>
      <c r="F27" s="76">
        <v>0</v>
      </c>
      <c r="G27" s="76">
        <v>0.25</v>
      </c>
      <c r="H27" s="79">
        <v>-0.25</v>
      </c>
      <c r="I27" s="79"/>
      <c r="J27" s="79">
        <v>0.25</v>
      </c>
      <c r="K27" s="79">
        <v>0.25</v>
      </c>
      <c r="L27" s="79">
        <v>0.25</v>
      </c>
      <c r="M27" s="79">
        <v>0.25</v>
      </c>
      <c r="N27" s="76">
        <v>-0.25</v>
      </c>
      <c r="O27" s="76">
        <v>-0.25</v>
      </c>
    </row>
    <row r="28" spans="1:15" s="43" customFormat="1" x14ac:dyDescent="0.25">
      <c r="A28" s="659"/>
      <c r="B28" s="665"/>
      <c r="C28" s="65" t="s">
        <v>48</v>
      </c>
      <c r="D28" s="78">
        <v>1</v>
      </c>
      <c r="E28" s="76">
        <v>0.25</v>
      </c>
      <c r="F28" s="76">
        <v>0</v>
      </c>
      <c r="G28" s="76">
        <v>-0.25</v>
      </c>
      <c r="H28" s="79">
        <v>0.25</v>
      </c>
      <c r="I28" s="79"/>
      <c r="J28" s="79">
        <v>-0.25</v>
      </c>
      <c r="K28" s="76">
        <v>-0.125</v>
      </c>
      <c r="L28" s="76">
        <v>-0.25</v>
      </c>
      <c r="M28" s="76">
        <v>-0.25</v>
      </c>
      <c r="N28" s="79">
        <v>0.25</v>
      </c>
      <c r="O28" s="79">
        <v>0.25</v>
      </c>
    </row>
    <row r="29" spans="1:15" s="43" customFormat="1" x14ac:dyDescent="0.25">
      <c r="A29" s="659"/>
      <c r="B29" s="665"/>
      <c r="C29" s="67" t="s">
        <v>49</v>
      </c>
      <c r="D29" s="78">
        <v>0.8</v>
      </c>
      <c r="E29" s="76">
        <v>0</v>
      </c>
      <c r="F29" s="76">
        <v>0</v>
      </c>
      <c r="G29" s="76">
        <v>0.25</v>
      </c>
      <c r="H29" s="79">
        <v>-0.25</v>
      </c>
      <c r="I29" s="79"/>
      <c r="J29" s="79">
        <v>0.25</v>
      </c>
      <c r="K29" s="76">
        <v>0</v>
      </c>
      <c r="L29" s="79">
        <v>0.25</v>
      </c>
      <c r="M29" s="79">
        <v>0.25</v>
      </c>
      <c r="N29" s="76">
        <v>0</v>
      </c>
      <c r="O29" s="76">
        <v>0</v>
      </c>
    </row>
    <row r="30" spans="1:15" x14ac:dyDescent="0.25">
      <c r="A30" s="659" t="s">
        <v>172</v>
      </c>
      <c r="B30" s="87"/>
      <c r="C30" s="63"/>
      <c r="D30" s="77"/>
      <c r="E30" s="77"/>
      <c r="F30" s="77"/>
      <c r="G30" s="77"/>
      <c r="H30" s="666"/>
      <c r="I30" s="666"/>
      <c r="J30" s="666"/>
      <c r="K30" s="77"/>
      <c r="L30" s="668"/>
      <c r="M30" s="668"/>
      <c r="N30" s="668"/>
      <c r="O30" s="668"/>
    </row>
    <row r="31" spans="1:15" s="13" customFormat="1" ht="14.25" customHeight="1" x14ac:dyDescent="0.25">
      <c r="A31" s="659"/>
      <c r="B31" s="665" t="s">
        <v>182</v>
      </c>
      <c r="C31" s="69" t="s">
        <v>84</v>
      </c>
      <c r="D31" s="78">
        <v>10</v>
      </c>
      <c r="E31" s="83">
        <v>0</v>
      </c>
      <c r="F31" s="83">
        <v>0</v>
      </c>
      <c r="G31" s="83">
        <v>0</v>
      </c>
      <c r="H31" s="83">
        <v>0</v>
      </c>
      <c r="I31" s="83"/>
      <c r="J31" s="83">
        <v>0</v>
      </c>
      <c r="K31" s="76">
        <v>0</v>
      </c>
      <c r="L31" s="76">
        <v>0</v>
      </c>
      <c r="M31" s="76">
        <v>0</v>
      </c>
      <c r="N31" s="76">
        <v>0</v>
      </c>
      <c r="O31" s="76">
        <v>0</v>
      </c>
    </row>
    <row r="32" spans="1:15" s="13" customFormat="1" x14ac:dyDescent="0.25">
      <c r="A32" s="659"/>
      <c r="B32" s="665"/>
      <c r="C32" s="65" t="s">
        <v>78</v>
      </c>
      <c r="D32" s="78">
        <v>9.8000000000000004E-2</v>
      </c>
      <c r="E32" s="83">
        <v>0</v>
      </c>
      <c r="F32" s="83">
        <v>0</v>
      </c>
      <c r="G32" s="83">
        <v>-0.5</v>
      </c>
      <c r="H32" s="83">
        <v>0</v>
      </c>
      <c r="I32" s="83"/>
      <c r="J32" s="83">
        <v>0</v>
      </c>
      <c r="K32" s="83">
        <v>0.5</v>
      </c>
      <c r="L32" s="83">
        <v>-0.5</v>
      </c>
      <c r="M32" s="83">
        <v>-0.5</v>
      </c>
      <c r="N32" s="83">
        <v>0</v>
      </c>
      <c r="O32" s="83">
        <v>-0.5</v>
      </c>
    </row>
    <row r="33" spans="1:15" s="13" customFormat="1" x14ac:dyDescent="0.25">
      <c r="A33" s="659"/>
      <c r="B33" s="665"/>
      <c r="C33" s="67" t="s">
        <v>77</v>
      </c>
      <c r="D33" s="78">
        <v>3E-11</v>
      </c>
      <c r="E33" s="83">
        <v>0</v>
      </c>
      <c r="F33" s="83">
        <v>0</v>
      </c>
      <c r="G33" s="83">
        <v>-0.5</v>
      </c>
      <c r="H33" s="83">
        <v>0</v>
      </c>
      <c r="I33" s="83"/>
      <c r="J33" s="83">
        <v>0</v>
      </c>
      <c r="K33" s="83">
        <v>0.5</v>
      </c>
      <c r="L33" s="83">
        <v>-0.5</v>
      </c>
      <c r="M33" s="83">
        <v>-0.5</v>
      </c>
      <c r="N33" s="83">
        <v>0</v>
      </c>
      <c r="O33" s="83">
        <v>-0.5</v>
      </c>
    </row>
    <row r="34" spans="1:15" s="13" customFormat="1" x14ac:dyDescent="0.25">
      <c r="A34" s="659"/>
      <c r="B34" s="665"/>
      <c r="C34" s="67" t="s">
        <v>73</v>
      </c>
      <c r="D34" s="78">
        <v>2.8E-11</v>
      </c>
      <c r="E34" s="83">
        <v>0</v>
      </c>
      <c r="F34" s="83">
        <v>0</v>
      </c>
      <c r="G34" s="83">
        <v>-0.5</v>
      </c>
      <c r="H34" s="83">
        <v>0</v>
      </c>
      <c r="I34" s="83"/>
      <c r="J34" s="83">
        <v>0</v>
      </c>
      <c r="K34" s="83">
        <v>0.5</v>
      </c>
      <c r="L34" s="83">
        <v>-0.5</v>
      </c>
      <c r="M34" s="83">
        <v>-0.5</v>
      </c>
      <c r="N34" s="83">
        <v>0</v>
      </c>
      <c r="O34" s="83">
        <v>-0.5</v>
      </c>
    </row>
    <row r="35" spans="1:15" s="13" customFormat="1" x14ac:dyDescent="0.25">
      <c r="A35" s="659"/>
      <c r="B35" s="665"/>
      <c r="C35" s="67" t="s">
        <v>59</v>
      </c>
      <c r="D35" s="78">
        <v>0.02</v>
      </c>
      <c r="E35" s="83">
        <v>0.5</v>
      </c>
      <c r="F35" s="83">
        <v>0</v>
      </c>
      <c r="G35" s="83">
        <v>-0.5</v>
      </c>
      <c r="H35" s="83">
        <v>0.5</v>
      </c>
      <c r="I35" s="83"/>
      <c r="J35" s="83">
        <v>-0.5</v>
      </c>
      <c r="K35" s="83">
        <v>0</v>
      </c>
      <c r="L35" s="83">
        <v>-0.5</v>
      </c>
      <c r="M35" s="83">
        <v>-0.5</v>
      </c>
      <c r="N35" s="83">
        <v>0.5</v>
      </c>
      <c r="O35" s="83">
        <v>0.5</v>
      </c>
    </row>
    <row r="36" spans="1:15" s="13" customFormat="1" x14ac:dyDescent="0.25">
      <c r="A36" s="659"/>
      <c r="B36" s="665"/>
      <c r="C36" s="67" t="s">
        <v>56</v>
      </c>
      <c r="D36" s="78">
        <v>1.1000000000000001</v>
      </c>
      <c r="E36" s="83">
        <v>0.25</v>
      </c>
      <c r="F36" s="83">
        <v>0</v>
      </c>
      <c r="G36" s="83">
        <v>-0.1</v>
      </c>
      <c r="H36" s="83">
        <v>0.25</v>
      </c>
      <c r="I36" s="83"/>
      <c r="J36" s="83">
        <v>-0.1</v>
      </c>
      <c r="K36" s="83">
        <v>0</v>
      </c>
      <c r="L36" s="83">
        <v>-0.1</v>
      </c>
      <c r="M36" s="83">
        <v>-0.1</v>
      </c>
      <c r="N36" s="83">
        <v>0.25</v>
      </c>
      <c r="O36" s="83">
        <v>0.25</v>
      </c>
    </row>
    <row r="37" spans="1:15" s="13" customFormat="1" x14ac:dyDescent="0.25">
      <c r="A37" s="659"/>
      <c r="B37" s="665"/>
      <c r="C37" s="64" t="s">
        <v>133</v>
      </c>
      <c r="D37" s="78">
        <v>6</v>
      </c>
      <c r="E37" s="76">
        <v>0</v>
      </c>
      <c r="F37" s="83">
        <v>0</v>
      </c>
      <c r="G37" s="76">
        <v>0.5</v>
      </c>
      <c r="H37" s="76">
        <v>0</v>
      </c>
      <c r="I37" s="76"/>
      <c r="J37" s="83">
        <v>0</v>
      </c>
      <c r="K37" s="76">
        <v>-0.5</v>
      </c>
      <c r="L37" s="76">
        <v>0.5</v>
      </c>
      <c r="M37" s="76">
        <v>0.5</v>
      </c>
      <c r="N37" s="83">
        <v>0</v>
      </c>
      <c r="O37" s="83">
        <v>0</v>
      </c>
    </row>
    <row r="38" spans="1:15" s="46" customFormat="1" x14ac:dyDescent="0.25">
      <c r="A38" s="659"/>
      <c r="B38" s="665"/>
      <c r="C38" s="64" t="s">
        <v>1060</v>
      </c>
      <c r="D38" s="81"/>
      <c r="E38" s="84"/>
      <c r="F38" s="84"/>
      <c r="G38" s="84"/>
      <c r="H38" s="84"/>
      <c r="I38" s="84"/>
      <c r="J38" s="84"/>
      <c r="K38" s="84"/>
      <c r="L38" s="366"/>
      <c r="M38" s="366"/>
      <c r="N38" s="366"/>
      <c r="O38" s="366"/>
    </row>
    <row r="39" spans="1:15" x14ac:dyDescent="0.25">
      <c r="A39" s="659"/>
      <c r="B39" s="87"/>
      <c r="C39" s="63"/>
      <c r="D39" s="77"/>
      <c r="E39" s="77"/>
      <c r="F39" s="77"/>
      <c r="G39" s="77"/>
      <c r="H39" s="666"/>
      <c r="I39" s="666"/>
      <c r="J39" s="666"/>
      <c r="K39" s="77"/>
      <c r="L39" s="668"/>
      <c r="M39" s="668"/>
      <c r="N39" s="668"/>
      <c r="O39" s="668"/>
    </row>
    <row r="40" spans="1:15" x14ac:dyDescent="0.25">
      <c r="A40" s="659"/>
      <c r="B40" s="665" t="s">
        <v>183</v>
      </c>
      <c r="C40" s="67" t="s">
        <v>71</v>
      </c>
      <c r="D40" s="78">
        <v>0.04</v>
      </c>
      <c r="E40" s="76">
        <v>-0.5</v>
      </c>
      <c r="F40" s="76">
        <v>0</v>
      </c>
      <c r="G40" s="76">
        <v>0.5</v>
      </c>
      <c r="H40" s="76">
        <v>-0.5</v>
      </c>
      <c r="I40" s="76"/>
      <c r="J40" s="76">
        <v>0.5</v>
      </c>
      <c r="K40" s="76">
        <v>0.5</v>
      </c>
      <c r="L40" s="76">
        <v>-0.5</v>
      </c>
      <c r="M40" s="76">
        <v>0.5</v>
      </c>
      <c r="N40" s="76">
        <v>-0.5</v>
      </c>
      <c r="O40" s="76">
        <v>-0.5</v>
      </c>
    </row>
    <row r="41" spans="1:15" x14ac:dyDescent="0.25">
      <c r="A41" s="659"/>
      <c r="B41" s="665"/>
      <c r="C41" s="67" t="s">
        <v>75</v>
      </c>
      <c r="D41" s="78">
        <v>0.04</v>
      </c>
      <c r="E41" s="76">
        <v>-0.5</v>
      </c>
      <c r="F41" s="76">
        <v>0</v>
      </c>
      <c r="G41" s="76">
        <v>0.5</v>
      </c>
      <c r="H41" s="76">
        <v>-0.5</v>
      </c>
      <c r="I41" s="76"/>
      <c r="J41" s="76">
        <v>0.5</v>
      </c>
      <c r="K41" s="76">
        <v>0.5</v>
      </c>
      <c r="L41" s="76">
        <v>-0.5</v>
      </c>
      <c r="M41" s="76">
        <v>0.5</v>
      </c>
      <c r="N41" s="76">
        <v>-0.5</v>
      </c>
      <c r="O41" s="76">
        <v>-0.5</v>
      </c>
    </row>
    <row r="42" spans="1:15" x14ac:dyDescent="0.25">
      <c r="A42" s="659"/>
      <c r="B42" s="665"/>
      <c r="C42" s="67" t="s">
        <v>79</v>
      </c>
      <c r="D42" s="78">
        <v>0.04</v>
      </c>
      <c r="E42" s="76">
        <v>-0.5</v>
      </c>
      <c r="F42" s="76">
        <v>0</v>
      </c>
      <c r="G42" s="76">
        <v>0.5</v>
      </c>
      <c r="H42" s="76">
        <v>-0.5</v>
      </c>
      <c r="I42" s="76"/>
      <c r="J42" s="76">
        <v>0.5</v>
      </c>
      <c r="K42" s="76">
        <v>0.5</v>
      </c>
      <c r="L42" s="76">
        <v>-0.5</v>
      </c>
      <c r="M42" s="76">
        <v>0.5</v>
      </c>
      <c r="N42" s="76">
        <v>-0.5</v>
      </c>
      <c r="O42" s="76">
        <v>-0.5</v>
      </c>
    </row>
    <row r="43" spans="1:15" x14ac:dyDescent="0.25">
      <c r="A43" s="659"/>
      <c r="B43" s="665"/>
      <c r="C43" s="67" t="s">
        <v>53</v>
      </c>
      <c r="D43" s="78">
        <v>500000000000</v>
      </c>
      <c r="E43" s="76">
        <v>0.25</v>
      </c>
      <c r="F43" s="76">
        <v>0</v>
      </c>
      <c r="G43" s="76">
        <v>-0.25</v>
      </c>
      <c r="H43" s="76">
        <v>0.25</v>
      </c>
      <c r="I43" s="76"/>
      <c r="J43" s="76">
        <v>0.25</v>
      </c>
      <c r="K43" s="76">
        <v>-0.25</v>
      </c>
      <c r="L43" s="76">
        <v>-0.25</v>
      </c>
      <c r="M43" s="76">
        <v>-0.25</v>
      </c>
      <c r="N43" s="76">
        <v>-0.25</v>
      </c>
      <c r="O43" s="76">
        <v>0.25</v>
      </c>
    </row>
    <row r="44" spans="1:15" x14ac:dyDescent="0.25">
      <c r="A44" s="659"/>
      <c r="B44" s="665"/>
      <c r="C44" s="64" t="s">
        <v>82</v>
      </c>
      <c r="D44" s="78">
        <v>5</v>
      </c>
      <c r="E44" s="76">
        <v>0.5</v>
      </c>
      <c r="F44" s="76">
        <v>0</v>
      </c>
      <c r="G44" s="76">
        <v>-0.5</v>
      </c>
      <c r="H44" s="76">
        <v>0.5</v>
      </c>
      <c r="I44" s="76"/>
      <c r="J44" s="76">
        <v>0.5</v>
      </c>
      <c r="K44" s="76">
        <v>-0.5</v>
      </c>
      <c r="L44" s="76">
        <v>-0.5</v>
      </c>
      <c r="M44" s="76">
        <v>-0.5</v>
      </c>
      <c r="N44" s="76">
        <v>-0.5</v>
      </c>
      <c r="O44" s="76">
        <v>0.5</v>
      </c>
    </row>
    <row r="45" spans="1:15" ht="14.25" customHeight="1" x14ac:dyDescent="0.25">
      <c r="A45" s="659" t="s">
        <v>173</v>
      </c>
      <c r="B45" s="87"/>
      <c r="C45" s="63"/>
      <c r="D45" s="77"/>
      <c r="E45" s="77"/>
      <c r="F45" s="77"/>
      <c r="G45" s="77"/>
      <c r="H45" s="666"/>
      <c r="I45" s="666"/>
      <c r="J45" s="666"/>
      <c r="K45" s="77"/>
      <c r="L45" s="668"/>
      <c r="M45" s="668"/>
      <c r="N45" s="668"/>
      <c r="O45" s="668"/>
    </row>
    <row r="46" spans="1:15" x14ac:dyDescent="0.25">
      <c r="A46" s="659"/>
      <c r="B46" s="665" t="s">
        <v>284</v>
      </c>
      <c r="C46" s="70" t="s">
        <v>171</v>
      </c>
      <c r="D46" s="78">
        <v>400000</v>
      </c>
      <c r="E46" s="76">
        <v>-0.5</v>
      </c>
      <c r="F46" s="76">
        <v>0</v>
      </c>
      <c r="G46" s="76">
        <v>0.25</v>
      </c>
      <c r="H46" s="76">
        <v>-0.25</v>
      </c>
      <c r="I46" s="76"/>
      <c r="J46" s="76">
        <v>0</v>
      </c>
      <c r="K46" s="76">
        <v>0.5</v>
      </c>
      <c r="L46" s="76">
        <v>0.25</v>
      </c>
      <c r="M46" s="76">
        <v>0.5</v>
      </c>
      <c r="N46" s="76">
        <v>-0.5</v>
      </c>
      <c r="O46" s="76">
        <v>-0.5</v>
      </c>
    </row>
    <row r="47" spans="1:15" s="43" customFormat="1" x14ac:dyDescent="0.25">
      <c r="A47" s="659"/>
      <c r="B47" s="665"/>
      <c r="C47" s="64" t="s">
        <v>83</v>
      </c>
      <c r="D47" s="78">
        <v>1000000000</v>
      </c>
      <c r="E47" s="83">
        <v>0</v>
      </c>
      <c r="F47" s="83">
        <v>0</v>
      </c>
      <c r="G47" s="83">
        <v>0.5</v>
      </c>
      <c r="H47" s="83">
        <v>0</v>
      </c>
      <c r="I47" s="83"/>
      <c r="J47" s="83">
        <v>0</v>
      </c>
      <c r="K47" s="83">
        <v>-0.5</v>
      </c>
      <c r="L47" s="83">
        <v>0</v>
      </c>
      <c r="M47" s="83">
        <v>-0.5</v>
      </c>
      <c r="N47" s="83">
        <v>0</v>
      </c>
      <c r="O47" s="83">
        <v>0</v>
      </c>
    </row>
    <row r="48" spans="1:15" s="43" customFormat="1" x14ac:dyDescent="0.25">
      <c r="A48" s="659"/>
      <c r="B48" s="665"/>
      <c r="C48" s="68" t="s">
        <v>58</v>
      </c>
      <c r="D48" s="78">
        <v>10</v>
      </c>
      <c r="E48" s="83">
        <v>-0.5</v>
      </c>
      <c r="F48" s="83">
        <v>0</v>
      </c>
      <c r="G48" s="83">
        <v>0.5</v>
      </c>
      <c r="H48" s="83">
        <v>-0.5</v>
      </c>
      <c r="I48" s="83"/>
      <c r="J48" s="83">
        <v>-0.5</v>
      </c>
      <c r="K48" s="83">
        <v>0</v>
      </c>
      <c r="L48" s="83">
        <v>0</v>
      </c>
      <c r="M48" s="76">
        <v>0.5</v>
      </c>
      <c r="N48" s="83">
        <v>-0.5</v>
      </c>
      <c r="O48" s="83">
        <v>-0.5</v>
      </c>
    </row>
    <row r="49" spans="1:15" s="43" customFormat="1" x14ac:dyDescent="0.25">
      <c r="A49" s="659"/>
      <c r="B49" s="665"/>
      <c r="C49" s="68" t="s">
        <v>55</v>
      </c>
      <c r="D49" s="78">
        <v>20</v>
      </c>
      <c r="E49" s="83">
        <v>-0.5</v>
      </c>
      <c r="F49" s="83">
        <v>0</v>
      </c>
      <c r="G49" s="83">
        <v>0.5</v>
      </c>
      <c r="H49" s="83">
        <v>-0.5</v>
      </c>
      <c r="I49" s="83"/>
      <c r="J49" s="83">
        <v>-0.5</v>
      </c>
      <c r="K49" s="83">
        <v>0</v>
      </c>
      <c r="L49" s="83">
        <v>0</v>
      </c>
      <c r="M49" s="76">
        <v>0.5</v>
      </c>
      <c r="N49" s="83">
        <v>-0.5</v>
      </c>
      <c r="O49" s="83">
        <v>-0.5</v>
      </c>
    </row>
    <row r="50" spans="1:15" s="43" customFormat="1" x14ac:dyDescent="0.25">
      <c r="A50" s="659"/>
      <c r="B50" s="665"/>
      <c r="C50" s="68" t="s">
        <v>61</v>
      </c>
      <c r="D50" s="78">
        <v>30000000</v>
      </c>
      <c r="E50" s="83">
        <v>0.5</v>
      </c>
      <c r="F50" s="83">
        <v>0</v>
      </c>
      <c r="G50" s="83">
        <v>-0.5</v>
      </c>
      <c r="H50" s="83">
        <v>0.5</v>
      </c>
      <c r="I50" s="83"/>
      <c r="J50" s="83">
        <v>-0.5</v>
      </c>
      <c r="K50" s="83">
        <v>0</v>
      </c>
      <c r="L50" s="83">
        <v>0</v>
      </c>
      <c r="M50" s="76">
        <v>0.5</v>
      </c>
      <c r="N50" s="83">
        <v>-0.5</v>
      </c>
      <c r="O50" s="83">
        <v>-0.5</v>
      </c>
    </row>
    <row r="51" spans="1:15" ht="28.5" customHeight="1" x14ac:dyDescent="0.25">
      <c r="A51" s="659"/>
      <c r="B51" s="665" t="s">
        <v>285</v>
      </c>
      <c r="C51" s="68" t="s">
        <v>127</v>
      </c>
      <c r="D51" s="78">
        <v>7500000000</v>
      </c>
      <c r="E51" s="76">
        <v>-0.5</v>
      </c>
      <c r="F51" s="76">
        <v>0</v>
      </c>
      <c r="G51" s="76">
        <v>0.5</v>
      </c>
      <c r="H51" s="76">
        <v>0</v>
      </c>
      <c r="I51" s="76"/>
      <c r="J51" s="76">
        <v>0.5</v>
      </c>
      <c r="K51" s="76">
        <v>0.5</v>
      </c>
      <c r="L51" s="76">
        <v>0.5</v>
      </c>
      <c r="M51" s="76">
        <v>0.5</v>
      </c>
      <c r="N51" s="83">
        <v>-0.5</v>
      </c>
      <c r="O51" s="83">
        <v>-0.5</v>
      </c>
    </row>
    <row r="52" spans="1:15" s="308" customFormat="1" x14ac:dyDescent="0.25">
      <c r="A52" s="659"/>
      <c r="B52" s="665"/>
      <c r="C52" s="68" t="s">
        <v>1061</v>
      </c>
      <c r="D52" s="81"/>
      <c r="E52" s="84"/>
      <c r="F52" s="84"/>
      <c r="G52" s="84"/>
      <c r="H52" s="84"/>
      <c r="I52" s="84"/>
      <c r="J52" s="84"/>
      <c r="K52" s="84"/>
      <c r="L52" s="366"/>
      <c r="M52" s="366"/>
      <c r="N52" s="366"/>
      <c r="O52" s="366"/>
    </row>
    <row r="53" spans="1:15" s="13" customFormat="1" x14ac:dyDescent="0.25">
      <c r="A53" s="659" t="s">
        <v>135</v>
      </c>
      <c r="B53" s="87"/>
      <c r="C53" s="63"/>
      <c r="D53" s="77"/>
      <c r="E53" s="77"/>
      <c r="F53" s="77"/>
      <c r="G53" s="77"/>
      <c r="H53" s="666"/>
      <c r="I53" s="666"/>
      <c r="J53" s="666"/>
      <c r="K53" s="77"/>
      <c r="L53" s="668"/>
      <c r="M53" s="668"/>
      <c r="N53" s="668"/>
      <c r="O53" s="668"/>
    </row>
    <row r="54" spans="1:15" s="13" customFormat="1" x14ac:dyDescent="0.25">
      <c r="A54" s="659"/>
      <c r="B54" s="665" t="s">
        <v>288</v>
      </c>
      <c r="C54" s="67" t="s">
        <v>88</v>
      </c>
      <c r="D54" s="78">
        <v>0.95</v>
      </c>
      <c r="E54" s="83">
        <v>-0.1</v>
      </c>
      <c r="F54" s="83">
        <v>0</v>
      </c>
      <c r="G54" s="83">
        <v>0.01</v>
      </c>
      <c r="H54" s="83">
        <v>-0.1</v>
      </c>
      <c r="I54" s="83"/>
      <c r="J54" s="83">
        <v>0.01</v>
      </c>
      <c r="K54" s="83">
        <v>0.01</v>
      </c>
      <c r="L54" s="83">
        <v>0.01</v>
      </c>
      <c r="M54" s="83">
        <v>0.01</v>
      </c>
      <c r="N54" s="83">
        <v>-0.1</v>
      </c>
      <c r="O54" s="83">
        <v>-0.1</v>
      </c>
    </row>
    <row r="55" spans="1:15" s="13" customFormat="1" x14ac:dyDescent="0.25">
      <c r="A55" s="659"/>
      <c r="B55" s="665"/>
      <c r="C55" s="68" t="s">
        <v>89</v>
      </c>
      <c r="D55" s="78">
        <v>5</v>
      </c>
      <c r="E55" s="83">
        <v>0.1</v>
      </c>
      <c r="F55" s="83">
        <v>0</v>
      </c>
      <c r="G55" s="83">
        <v>-0.1</v>
      </c>
      <c r="H55" s="83">
        <v>0.1</v>
      </c>
      <c r="I55" s="83"/>
      <c r="J55" s="83">
        <v>-0.1</v>
      </c>
      <c r="K55" s="83">
        <v>-0.1</v>
      </c>
      <c r="L55" s="83">
        <v>-0.1</v>
      </c>
      <c r="M55" s="83">
        <v>-0.1</v>
      </c>
      <c r="N55" s="83">
        <v>0.1</v>
      </c>
      <c r="O55" s="83">
        <v>0.1</v>
      </c>
    </row>
    <row r="56" spans="1:15" x14ac:dyDescent="0.25">
      <c r="A56" s="659"/>
      <c r="B56" s="87"/>
      <c r="C56" s="63"/>
      <c r="D56" s="77"/>
      <c r="E56" s="77"/>
      <c r="F56" s="77"/>
      <c r="G56" s="77"/>
      <c r="H56" s="666"/>
      <c r="I56" s="666"/>
      <c r="J56" s="666"/>
      <c r="K56" s="77"/>
      <c r="L56" s="668"/>
      <c r="M56" s="668"/>
      <c r="N56" s="668"/>
      <c r="O56" s="668"/>
    </row>
    <row r="57" spans="1:15" x14ac:dyDescent="0.25">
      <c r="A57" s="659"/>
      <c r="B57" s="665" t="s">
        <v>289</v>
      </c>
      <c r="C57" s="65" t="s">
        <v>109</v>
      </c>
      <c r="D57" s="78">
        <v>7.0000000000000007E-2</v>
      </c>
      <c r="E57" s="83">
        <v>0.5</v>
      </c>
      <c r="F57" s="83">
        <v>0</v>
      </c>
      <c r="G57" s="83">
        <v>-0.5</v>
      </c>
      <c r="H57" s="83">
        <v>0.5</v>
      </c>
      <c r="I57" s="83"/>
      <c r="J57" s="83">
        <v>-0.5</v>
      </c>
      <c r="K57" s="83">
        <v>0.5</v>
      </c>
      <c r="L57" s="83">
        <v>-0.5</v>
      </c>
      <c r="M57" s="83">
        <v>-0.5</v>
      </c>
      <c r="N57" s="83">
        <v>0</v>
      </c>
      <c r="O57" s="83">
        <v>0.5</v>
      </c>
    </row>
    <row r="58" spans="1:15" x14ac:dyDescent="0.25">
      <c r="A58" s="659"/>
      <c r="B58" s="665"/>
      <c r="C58" s="67" t="s">
        <v>107</v>
      </c>
      <c r="D58" s="78">
        <v>0.3</v>
      </c>
      <c r="E58" s="83">
        <v>0.5</v>
      </c>
      <c r="F58" s="83">
        <v>0</v>
      </c>
      <c r="G58" s="83">
        <v>-0.5</v>
      </c>
      <c r="H58" s="83">
        <v>0.5</v>
      </c>
      <c r="I58" s="83"/>
      <c r="J58" s="83">
        <v>-0.5</v>
      </c>
      <c r="K58" s="83">
        <v>0.5</v>
      </c>
      <c r="L58" s="362">
        <v>-0.5</v>
      </c>
      <c r="M58" s="362">
        <v>-0.5</v>
      </c>
      <c r="N58" s="83">
        <v>0</v>
      </c>
      <c r="O58" s="83">
        <v>0.5</v>
      </c>
    </row>
    <row r="59" spans="1:15" x14ac:dyDescent="0.25">
      <c r="A59" s="665" t="s">
        <v>290</v>
      </c>
      <c r="B59" s="86"/>
      <c r="C59" s="63"/>
      <c r="D59" s="77"/>
      <c r="E59" s="77"/>
      <c r="F59" s="77"/>
      <c r="G59" s="77"/>
      <c r="H59" s="666"/>
      <c r="I59" s="666"/>
      <c r="J59" s="666"/>
      <c r="K59" s="77"/>
      <c r="L59" s="668"/>
      <c r="M59" s="668"/>
      <c r="N59" s="668"/>
      <c r="O59" s="668"/>
    </row>
    <row r="60" spans="1:15" x14ac:dyDescent="0.25">
      <c r="A60" s="665"/>
      <c r="B60" s="665" t="s">
        <v>286</v>
      </c>
      <c r="C60" s="65" t="s">
        <v>115</v>
      </c>
      <c r="D60" s="78">
        <v>1</v>
      </c>
      <c r="E60" s="83">
        <v>-0.1</v>
      </c>
      <c r="F60" s="83">
        <v>0</v>
      </c>
      <c r="G60" s="83">
        <v>0.1</v>
      </c>
      <c r="H60" s="83">
        <v>0</v>
      </c>
      <c r="I60" s="83"/>
      <c r="J60" s="83">
        <v>0</v>
      </c>
      <c r="K60" s="83">
        <v>0.1</v>
      </c>
      <c r="L60" s="83">
        <v>0.1</v>
      </c>
      <c r="M60" s="83">
        <v>0.1</v>
      </c>
      <c r="N60" s="83">
        <v>-0.1</v>
      </c>
      <c r="O60" s="83">
        <v>-0.1</v>
      </c>
    </row>
    <row r="61" spans="1:15" x14ac:dyDescent="0.25">
      <c r="A61" s="665"/>
      <c r="B61" s="665"/>
      <c r="C61" s="65" t="s">
        <v>116</v>
      </c>
      <c r="D61" s="78">
        <v>1</v>
      </c>
      <c r="E61" s="83">
        <v>-0.1</v>
      </c>
      <c r="F61" s="83">
        <v>0</v>
      </c>
      <c r="G61" s="83">
        <v>0.1</v>
      </c>
      <c r="H61" s="83">
        <v>0</v>
      </c>
      <c r="I61" s="83"/>
      <c r="J61" s="83">
        <v>0</v>
      </c>
      <c r="K61" s="83">
        <v>0.1</v>
      </c>
      <c r="L61" s="83">
        <v>0.1</v>
      </c>
      <c r="M61" s="83">
        <v>0.1</v>
      </c>
      <c r="N61" s="83">
        <v>-0.1</v>
      </c>
      <c r="O61" s="83">
        <v>-0.1</v>
      </c>
    </row>
    <row r="62" spans="1:15" x14ac:dyDescent="0.25">
      <c r="A62" s="665"/>
      <c r="B62" s="665"/>
      <c r="C62" s="65" t="s">
        <v>120</v>
      </c>
      <c r="D62" s="78">
        <v>1672.6</v>
      </c>
      <c r="E62" s="83">
        <v>-0.25</v>
      </c>
      <c r="F62" s="83">
        <v>0</v>
      </c>
      <c r="G62" s="83">
        <v>0.25</v>
      </c>
      <c r="H62" s="83">
        <v>0</v>
      </c>
      <c r="I62" s="83"/>
      <c r="J62" s="83">
        <v>0</v>
      </c>
      <c r="K62" s="83">
        <v>0.25</v>
      </c>
      <c r="L62" s="83">
        <v>-0.25</v>
      </c>
      <c r="M62" s="83">
        <v>0.25</v>
      </c>
      <c r="N62" s="83">
        <v>-0.25</v>
      </c>
      <c r="O62" s="83">
        <v>-0.25</v>
      </c>
    </row>
    <row r="63" spans="1:15" x14ac:dyDescent="0.25">
      <c r="A63" s="665"/>
      <c r="B63" s="665" t="s">
        <v>287</v>
      </c>
      <c r="C63" s="65" t="s">
        <v>117</v>
      </c>
      <c r="D63" s="78">
        <v>0.01</v>
      </c>
      <c r="E63" s="83">
        <v>-0.25</v>
      </c>
      <c r="F63" s="83">
        <v>0</v>
      </c>
      <c r="G63" s="83">
        <v>0.25</v>
      </c>
      <c r="H63" s="83">
        <v>0</v>
      </c>
      <c r="I63" s="83"/>
      <c r="J63" s="83">
        <v>0</v>
      </c>
      <c r="K63" s="83">
        <v>0.25</v>
      </c>
      <c r="L63" s="83">
        <v>0</v>
      </c>
      <c r="M63" s="83">
        <v>0.25</v>
      </c>
      <c r="N63" s="83">
        <v>-0.25</v>
      </c>
      <c r="O63" s="83">
        <v>-0.25</v>
      </c>
    </row>
    <row r="64" spans="1:15" x14ac:dyDescent="0.25">
      <c r="A64" s="665"/>
      <c r="B64" s="665"/>
      <c r="C64" s="68" t="s">
        <v>134</v>
      </c>
      <c r="D64" s="84"/>
      <c r="E64" s="84"/>
      <c r="F64" s="84"/>
      <c r="G64" s="84"/>
      <c r="H64" s="84"/>
      <c r="I64" s="84"/>
      <c r="J64" s="84"/>
      <c r="K64" s="84"/>
      <c r="L64" s="366"/>
      <c r="M64" s="366"/>
      <c r="N64" s="366"/>
      <c r="O64" s="366"/>
    </row>
    <row r="65" spans="1:2" x14ac:dyDescent="0.25">
      <c r="A65" s="36"/>
      <c r="B65" s="36"/>
    </row>
    <row r="66" spans="1:2" x14ac:dyDescent="0.25">
      <c r="A66" s="36"/>
      <c r="B66" s="36"/>
    </row>
    <row r="67" spans="1:2" x14ac:dyDescent="0.25">
      <c r="A67" s="36"/>
      <c r="B67" s="36"/>
    </row>
  </sheetData>
  <mergeCells count="54">
    <mergeCell ref="L53:M53"/>
    <mergeCell ref="N53:O53"/>
    <mergeCell ref="L56:M56"/>
    <mergeCell ref="N56:O56"/>
    <mergeCell ref="L59:M59"/>
    <mergeCell ref="N59:O59"/>
    <mergeCell ref="L30:M30"/>
    <mergeCell ref="N30:O30"/>
    <mergeCell ref="L39:M39"/>
    <mergeCell ref="N39:O39"/>
    <mergeCell ref="L45:M45"/>
    <mergeCell ref="N45:O45"/>
    <mergeCell ref="L17:M17"/>
    <mergeCell ref="N17:O17"/>
    <mergeCell ref="L20:M20"/>
    <mergeCell ref="N20:O20"/>
    <mergeCell ref="L23:M23"/>
    <mergeCell ref="N23:O23"/>
    <mergeCell ref="L3:M3"/>
    <mergeCell ref="N3:O3"/>
    <mergeCell ref="L7:M7"/>
    <mergeCell ref="N7:O7"/>
    <mergeCell ref="L14:M14"/>
    <mergeCell ref="N14:O14"/>
    <mergeCell ref="H59:J59"/>
    <mergeCell ref="H1:J1"/>
    <mergeCell ref="H45:J45"/>
    <mergeCell ref="H53:J53"/>
    <mergeCell ref="H56:J56"/>
    <mergeCell ref="H17:J17"/>
    <mergeCell ref="H20:J20"/>
    <mergeCell ref="H23:J23"/>
    <mergeCell ref="H30:J30"/>
    <mergeCell ref="H39:J39"/>
    <mergeCell ref="A3:A19"/>
    <mergeCell ref="B4:B6"/>
    <mergeCell ref="B8:B13"/>
    <mergeCell ref="B15:B16"/>
    <mergeCell ref="B18:B19"/>
    <mergeCell ref="A20:A29"/>
    <mergeCell ref="B21:B22"/>
    <mergeCell ref="B24:B29"/>
    <mergeCell ref="A30:A44"/>
    <mergeCell ref="B40:B44"/>
    <mergeCell ref="B31:B38"/>
    <mergeCell ref="A59:A64"/>
    <mergeCell ref="B60:B62"/>
    <mergeCell ref="B63:B64"/>
    <mergeCell ref="B46:B50"/>
    <mergeCell ref="A53:A58"/>
    <mergeCell ref="B54:B55"/>
    <mergeCell ref="B57:B58"/>
    <mergeCell ref="B51:B52"/>
    <mergeCell ref="A45:A52"/>
  </mergeCell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zoomScale="80" zoomScaleNormal="80" workbookViewId="0">
      <pane xSplit="3" ySplit="1" topLeftCell="D2" activePane="bottomRight" state="frozen"/>
      <selection pane="topRight" activeCell="C1" sqref="C1"/>
      <selection pane="bottomLeft" activeCell="A2" sqref="A2"/>
      <selection pane="bottomRight" activeCell="E8" sqref="E8:K13"/>
    </sheetView>
  </sheetViews>
  <sheetFormatPr defaultColWidth="9" defaultRowHeight="15" x14ac:dyDescent="0.25"/>
  <cols>
    <col min="1" max="2" width="14.28515625" style="43" customWidth="1"/>
    <col min="3" max="3" width="89.85546875" style="43" customWidth="1"/>
    <col min="4" max="4" width="18" style="30" customWidth="1"/>
    <col min="5" max="5" width="21.85546875" style="30" customWidth="1"/>
    <col min="6" max="6" width="28" style="30" customWidth="1"/>
    <col min="7" max="7" width="23.140625" style="30" customWidth="1"/>
    <col min="8" max="8" width="24.85546875" style="30" hidden="1" customWidth="1"/>
    <col min="9" max="9" width="20.140625" style="30" customWidth="1"/>
    <col min="10" max="10" width="20.140625" style="30" hidden="1" customWidth="1"/>
    <col min="11" max="11" width="22" style="30" customWidth="1"/>
    <col min="12" max="12" width="16.42578125" style="43" bestFit="1" customWidth="1"/>
    <col min="13" max="13" width="16" style="43" bestFit="1" customWidth="1"/>
    <col min="14" max="14" width="16.42578125" style="43" bestFit="1" customWidth="1"/>
    <col min="15" max="15" width="16" style="43" bestFit="1" customWidth="1"/>
    <col min="16" max="16384" width="9" style="43"/>
  </cols>
  <sheetData>
    <row r="1" spans="1:15" s="26" customFormat="1" ht="124.9" customHeight="1" x14ac:dyDescent="0.25">
      <c r="A1" s="44"/>
      <c r="B1" s="44"/>
      <c r="C1" s="25" t="s">
        <v>3</v>
      </c>
      <c r="D1" s="30"/>
      <c r="E1" s="29" t="s">
        <v>136</v>
      </c>
      <c r="F1" s="29" t="s">
        <v>137</v>
      </c>
      <c r="G1" s="29" t="s">
        <v>138</v>
      </c>
      <c r="H1" s="670" t="s">
        <v>139</v>
      </c>
      <c r="I1" s="670"/>
      <c r="J1" s="670"/>
      <c r="K1" s="29" t="s">
        <v>140</v>
      </c>
      <c r="L1" s="669" t="s">
        <v>1439</v>
      </c>
      <c r="M1" s="669"/>
      <c r="N1" s="669" t="s">
        <v>1440</v>
      </c>
      <c r="O1" s="669"/>
    </row>
    <row r="2" spans="1:15" x14ac:dyDescent="0.25">
      <c r="A2" s="44"/>
      <c r="B2" s="44"/>
      <c r="C2" s="47" t="s">
        <v>158</v>
      </c>
      <c r="D2" s="30" t="s">
        <v>188</v>
      </c>
      <c r="E2" s="30" t="s">
        <v>153</v>
      </c>
      <c r="F2" s="30" t="s">
        <v>153</v>
      </c>
      <c r="G2" s="30" t="s">
        <v>153</v>
      </c>
      <c r="H2" s="30" t="s">
        <v>187</v>
      </c>
      <c r="I2" s="38" t="s">
        <v>153</v>
      </c>
      <c r="J2" s="30" t="s">
        <v>186</v>
      </c>
      <c r="K2" s="30" t="s">
        <v>153</v>
      </c>
      <c r="L2" s="360" t="s">
        <v>1438</v>
      </c>
      <c r="M2" s="360" t="s">
        <v>1437</v>
      </c>
      <c r="N2" s="360" t="s">
        <v>1438</v>
      </c>
      <c r="O2" s="360" t="s">
        <v>1437</v>
      </c>
    </row>
    <row r="3" spans="1:15" x14ac:dyDescent="0.25">
      <c r="A3" s="665" t="s">
        <v>142</v>
      </c>
      <c r="B3" s="86"/>
      <c r="C3" s="31"/>
      <c r="D3" s="31"/>
      <c r="E3" s="31"/>
      <c r="F3" s="31"/>
      <c r="G3" s="31"/>
      <c r="H3" s="31"/>
      <c r="I3" s="31"/>
      <c r="J3" s="31"/>
      <c r="K3" s="31"/>
      <c r="L3" s="477"/>
      <c r="M3" s="477"/>
      <c r="N3" s="477"/>
      <c r="O3" s="477"/>
    </row>
    <row r="4" spans="1:15" x14ac:dyDescent="0.25">
      <c r="A4" s="665"/>
      <c r="B4" s="665" t="s">
        <v>178</v>
      </c>
      <c r="C4" s="51" t="s">
        <v>7</v>
      </c>
      <c r="D4" s="58">
        <v>0.51500000000000001</v>
      </c>
      <c r="E4" s="39">
        <f>$D4+$D4*Quantitative_assumption_rates!E4</f>
        <v>0.5665</v>
      </c>
      <c r="F4" s="39">
        <f>$D4+$D4*Quantitative_assumption_rates!F4</f>
        <v>0.51500000000000001</v>
      </c>
      <c r="G4" s="39">
        <f>$D4+$D4*Quantitative_assumption_rates!G4</f>
        <v>0.46350000000000002</v>
      </c>
      <c r="H4" s="39">
        <f>$D4+$D4*Quantitative_assumption_rates!H4</f>
        <v>0.5665</v>
      </c>
      <c r="I4" s="39">
        <f>(H4+J4)/2</f>
        <v>0.51500000000000001</v>
      </c>
      <c r="J4" s="39">
        <f>$D4+$D4*Quantitative_assumption_rates!J4</f>
        <v>0.46350000000000002</v>
      </c>
      <c r="K4" s="39">
        <f>$D4+$D4*Quantitative_assumption_rates!K4</f>
        <v>0.5665</v>
      </c>
      <c r="L4" s="39">
        <f>$D4+$D4*Quantitative_assumption_rates!L4</f>
        <v>0.51500000000000001</v>
      </c>
      <c r="M4" s="39">
        <f>$D4+$D4*Quantitative_assumption_rates!M4</f>
        <v>0.46350000000000002</v>
      </c>
      <c r="N4" s="39">
        <f>$D4+$D4*Quantitative_assumption_rates!N4</f>
        <v>0.5665</v>
      </c>
      <c r="O4" s="39">
        <f>$D4+$D4*Quantitative_assumption_rates!O4</f>
        <v>0.5665</v>
      </c>
    </row>
    <row r="5" spans="1:15" x14ac:dyDescent="0.25">
      <c r="A5" s="665"/>
      <c r="B5" s="665"/>
      <c r="C5" s="53" t="s">
        <v>6</v>
      </c>
      <c r="D5" s="58">
        <v>12</v>
      </c>
      <c r="E5" s="39">
        <f>$D5+$D5*Quantitative_assumption_rates!E5</f>
        <v>10.8</v>
      </c>
      <c r="F5" s="39">
        <f>$D5+$D5*Quantitative_assumption_rates!F5</f>
        <v>12</v>
      </c>
      <c r="G5" s="39">
        <f>$D5+$D5*Quantitative_assumption_rates!G5</f>
        <v>13.2</v>
      </c>
      <c r="H5" s="39">
        <f>$D5+$D5*Quantitative_assumption_rates!H5</f>
        <v>10.8</v>
      </c>
      <c r="I5" s="39">
        <f t="shared" ref="I5:I63" si="0">(H5+J5)/2</f>
        <v>12</v>
      </c>
      <c r="J5" s="39">
        <f>$D5+$D5*Quantitative_assumption_rates!J5</f>
        <v>13.2</v>
      </c>
      <c r="K5" s="39">
        <f>$D5+$D5*Quantitative_assumption_rates!K5</f>
        <v>10.8</v>
      </c>
      <c r="L5" s="39">
        <f>$D5+$D5*Quantitative_assumption_rates!L5</f>
        <v>12</v>
      </c>
      <c r="M5" s="39">
        <f>$D5+$D5*Quantitative_assumption_rates!M5</f>
        <v>13.2</v>
      </c>
      <c r="N5" s="39">
        <f>$D5+$D5*Quantitative_assumption_rates!N5</f>
        <v>10.8</v>
      </c>
      <c r="O5" s="39">
        <f>$D5+$D5*Quantitative_assumption_rates!O5</f>
        <v>10.8</v>
      </c>
    </row>
    <row r="6" spans="1:15" x14ac:dyDescent="0.25">
      <c r="A6" s="665"/>
      <c r="B6" s="665"/>
      <c r="C6" s="53" t="s">
        <v>5</v>
      </c>
      <c r="D6" s="58">
        <v>28</v>
      </c>
      <c r="E6" s="39">
        <f>$D6+$D6*Quantitative_assumption_rates!E6</f>
        <v>30.8</v>
      </c>
      <c r="F6" s="39">
        <f>$D6+$D6*Quantitative_assumption_rates!F6</f>
        <v>28</v>
      </c>
      <c r="G6" s="39">
        <f>$D6+$D6*Quantitative_assumption_rates!G6</f>
        <v>25.2</v>
      </c>
      <c r="H6" s="39">
        <f>$D6+$D6*Quantitative_assumption_rates!H6</f>
        <v>28</v>
      </c>
      <c r="I6" s="39">
        <f t="shared" si="0"/>
        <v>26.6</v>
      </c>
      <c r="J6" s="39">
        <f>$D6+$D6*Quantitative_assumption_rates!J6</f>
        <v>25.2</v>
      </c>
      <c r="K6" s="39">
        <f>$D6+$D6*Quantitative_assumption_rates!K6</f>
        <v>30.8</v>
      </c>
      <c r="L6" s="39">
        <f>$D6+$D6*Quantitative_assumption_rates!L6</f>
        <v>25.2</v>
      </c>
      <c r="M6" s="39">
        <f>$D6+$D6*Quantitative_assumption_rates!M6</f>
        <v>25.2</v>
      </c>
      <c r="N6" s="39">
        <f>$D6+$D6*Quantitative_assumption_rates!N6</f>
        <v>28</v>
      </c>
      <c r="O6" s="39">
        <f>$D6+$D6*Quantitative_assumption_rates!O6</f>
        <v>30.8</v>
      </c>
    </row>
    <row r="7" spans="1:15" x14ac:dyDescent="0.25">
      <c r="A7" s="665"/>
      <c r="B7" s="86"/>
      <c r="C7" s="31"/>
      <c r="D7" s="31"/>
      <c r="E7" s="63"/>
      <c r="F7" s="31"/>
      <c r="G7" s="31"/>
      <c r="H7" s="31"/>
      <c r="I7" s="63"/>
      <c r="J7" s="31"/>
      <c r="K7" s="31"/>
      <c r="L7" s="477"/>
      <c r="M7" s="477"/>
      <c r="N7" s="477"/>
      <c r="O7" s="477"/>
    </row>
    <row r="8" spans="1:15" s="46" customFormat="1" x14ac:dyDescent="0.25">
      <c r="A8" s="665"/>
      <c r="B8" s="665" t="s">
        <v>179</v>
      </c>
      <c r="C8" s="53" t="s">
        <v>33</v>
      </c>
      <c r="D8" s="59">
        <v>0</v>
      </c>
      <c r="E8" s="59">
        <v>7.5000000000000002E-4</v>
      </c>
      <c r="F8" s="56">
        <v>0</v>
      </c>
      <c r="G8" s="56">
        <v>0</v>
      </c>
      <c r="H8" s="59">
        <v>7.5000000000000002E-4</v>
      </c>
      <c r="I8" s="66">
        <f t="shared" si="0"/>
        <v>7.5000000000000002E-4</v>
      </c>
      <c r="J8" s="59">
        <v>7.5000000000000002E-4</v>
      </c>
      <c r="K8" s="59">
        <v>7.5000000000000002E-4</v>
      </c>
      <c r="L8" s="59">
        <v>0</v>
      </c>
      <c r="M8" s="59">
        <v>0</v>
      </c>
      <c r="N8" s="59">
        <v>0</v>
      </c>
      <c r="O8" s="59">
        <v>7.5000000000000002E-4</v>
      </c>
    </row>
    <row r="9" spans="1:15" s="46" customFormat="1" x14ac:dyDescent="0.25">
      <c r="A9" s="665"/>
      <c r="B9" s="665"/>
      <c r="C9" s="53" t="s">
        <v>34</v>
      </c>
      <c r="D9" s="59">
        <v>0</v>
      </c>
      <c r="E9" s="59">
        <v>5.0000000000000001E-4</v>
      </c>
      <c r="F9" s="56">
        <v>0</v>
      </c>
      <c r="G9" s="56">
        <v>0</v>
      </c>
      <c r="H9" s="59">
        <v>5.0000000000000001E-4</v>
      </c>
      <c r="I9" s="66">
        <f t="shared" si="0"/>
        <v>5.0000000000000001E-4</v>
      </c>
      <c r="J9" s="59">
        <v>5.0000000000000001E-4</v>
      </c>
      <c r="K9" s="59">
        <v>5.0000000000000001E-4</v>
      </c>
      <c r="L9" s="59">
        <v>0</v>
      </c>
      <c r="M9" s="59">
        <v>0</v>
      </c>
      <c r="N9" s="59">
        <v>0</v>
      </c>
      <c r="O9" s="59">
        <v>5.0000000000000001E-4</v>
      </c>
    </row>
    <row r="10" spans="1:15" s="46" customFormat="1" x14ac:dyDescent="0.25">
      <c r="A10" s="665"/>
      <c r="B10" s="665"/>
      <c r="C10" s="53" t="s">
        <v>35</v>
      </c>
      <c r="D10" s="59">
        <v>0</v>
      </c>
      <c r="E10" s="59">
        <v>2.5000000000000001E-4</v>
      </c>
      <c r="F10" s="56">
        <v>0</v>
      </c>
      <c r="G10" s="59">
        <v>-2E-3</v>
      </c>
      <c r="H10" s="59">
        <v>2.5000000000000001E-4</v>
      </c>
      <c r="I10" s="66">
        <f t="shared" si="0"/>
        <v>1.25E-4</v>
      </c>
      <c r="J10" s="56">
        <v>0</v>
      </c>
      <c r="K10" s="59">
        <v>2.5000000000000001E-4</v>
      </c>
      <c r="L10" s="59">
        <v>-2E-3</v>
      </c>
      <c r="M10" s="59">
        <v>-2E-3</v>
      </c>
      <c r="N10" s="59">
        <v>-2E-3</v>
      </c>
      <c r="O10" s="59">
        <v>2.5000000000000001E-4</v>
      </c>
    </row>
    <row r="11" spans="1:15" x14ac:dyDescent="0.25">
      <c r="A11" s="665"/>
      <c r="B11" s="665"/>
      <c r="C11" s="53" t="s">
        <v>36</v>
      </c>
      <c r="D11" s="59">
        <v>0</v>
      </c>
      <c r="E11" s="59">
        <v>5.0000000000000001E-4</v>
      </c>
      <c r="F11" s="56">
        <v>0</v>
      </c>
      <c r="G11" s="59">
        <v>-2E-3</v>
      </c>
      <c r="H11" s="59">
        <v>5.0000000000000001E-4</v>
      </c>
      <c r="I11" s="66">
        <f t="shared" si="0"/>
        <v>2.5000000000000001E-4</v>
      </c>
      <c r="J11" s="56">
        <v>0</v>
      </c>
      <c r="K11" s="59">
        <v>5.0000000000000001E-4</v>
      </c>
      <c r="L11" s="59">
        <v>-2E-3</v>
      </c>
      <c r="M11" s="59">
        <v>-2E-3</v>
      </c>
      <c r="N11" s="59">
        <v>-2E-3</v>
      </c>
      <c r="O11" s="59">
        <v>5.0000000000000001E-4</v>
      </c>
    </row>
    <row r="12" spans="1:15" x14ac:dyDescent="0.25">
      <c r="A12" s="665"/>
      <c r="B12" s="665"/>
      <c r="C12" s="53" t="s">
        <v>37</v>
      </c>
      <c r="D12" s="59">
        <v>0</v>
      </c>
      <c r="E12" s="59">
        <v>6.4999999999999997E-3</v>
      </c>
      <c r="F12" s="56">
        <v>0</v>
      </c>
      <c r="G12" s="59">
        <v>-5.0000000000000001E-4</v>
      </c>
      <c r="H12" s="59">
        <v>3.0000000000000001E-3</v>
      </c>
      <c r="I12" s="66">
        <f t="shared" si="0"/>
        <v>1.25E-3</v>
      </c>
      <c r="J12" s="59">
        <v>-5.0000000000000001E-4</v>
      </c>
      <c r="K12" s="59">
        <v>6.4999999999999997E-3</v>
      </c>
      <c r="L12" s="59">
        <v>-5.0000000000000001E-4</v>
      </c>
      <c r="M12" s="59">
        <v>-5.0000000000000001E-4</v>
      </c>
      <c r="N12" s="59">
        <v>-5.0000000000000001E-4</v>
      </c>
      <c r="O12" s="59">
        <v>6.4999999999999997E-3</v>
      </c>
    </row>
    <row r="13" spans="1:15" x14ac:dyDescent="0.25">
      <c r="A13" s="665"/>
      <c r="B13" s="665"/>
      <c r="C13" s="53" t="s">
        <v>38</v>
      </c>
      <c r="D13" s="59">
        <v>0</v>
      </c>
      <c r="E13" s="59">
        <v>6.4000000000000003E-3</v>
      </c>
      <c r="F13" s="56">
        <v>0</v>
      </c>
      <c r="G13" s="59">
        <v>-4.4999999999999999E-4</v>
      </c>
      <c r="H13" s="59">
        <v>2E-3</v>
      </c>
      <c r="I13" s="66">
        <f t="shared" si="0"/>
        <v>7.7500000000000008E-4</v>
      </c>
      <c r="J13" s="59">
        <v>-4.4999999999999999E-4</v>
      </c>
      <c r="K13" s="59">
        <v>6.4000000000000003E-3</v>
      </c>
      <c r="L13" s="59">
        <v>-4.4999999999999999E-4</v>
      </c>
      <c r="M13" s="59">
        <v>-4.4999999999999999E-4</v>
      </c>
      <c r="N13" s="59">
        <v>-4.4999999999999999E-4</v>
      </c>
      <c r="O13" s="59">
        <v>6.4000000000000003E-3</v>
      </c>
    </row>
    <row r="14" spans="1:15" x14ac:dyDescent="0.25">
      <c r="A14" s="665"/>
      <c r="B14" s="86"/>
      <c r="C14" s="31"/>
      <c r="D14" s="31"/>
      <c r="E14" s="63"/>
      <c r="F14" s="31"/>
      <c r="G14" s="31"/>
      <c r="H14" s="31"/>
      <c r="I14" s="63"/>
      <c r="J14" s="31"/>
      <c r="K14" s="31"/>
      <c r="L14" s="477"/>
      <c r="M14" s="477"/>
      <c r="N14" s="477"/>
      <c r="O14" s="477"/>
    </row>
    <row r="15" spans="1:15" s="46" customFormat="1" x14ac:dyDescent="0.25">
      <c r="A15" s="665"/>
      <c r="B15" s="665" t="s">
        <v>10</v>
      </c>
      <c r="C15" s="53" t="s">
        <v>39</v>
      </c>
      <c r="D15" s="58">
        <v>0.35</v>
      </c>
      <c r="E15" s="39">
        <f>$D15+$D15*Quantitative_assumption_rates!E15</f>
        <v>0.4375</v>
      </c>
      <c r="F15" s="39">
        <f>$D15+$D15*Quantitative_assumption_rates!F15</f>
        <v>0.35</v>
      </c>
      <c r="G15" s="39">
        <f>$D15+$D15*Quantitative_assumption_rates!G15</f>
        <v>0.26249999999999996</v>
      </c>
      <c r="H15" s="39">
        <f>$D15+$D15*Quantitative_assumption_rates!H15</f>
        <v>0.35</v>
      </c>
      <c r="I15" s="39">
        <f t="shared" si="0"/>
        <v>0.30624999999999997</v>
      </c>
      <c r="J15" s="39">
        <f>$D15+$D15*Quantitative_assumption_rates!J15</f>
        <v>0.26249999999999996</v>
      </c>
      <c r="K15" s="39">
        <f>$D15+$D15*Quantitative_assumption_rates!K15</f>
        <v>0.4375</v>
      </c>
      <c r="L15" s="39">
        <f>$D15+$D15*Quantitative_assumption_rates!L15</f>
        <v>0.26249999999999996</v>
      </c>
      <c r="M15" s="39">
        <f>$D15+$D15*Quantitative_assumption_rates!M15</f>
        <v>0.26249999999999996</v>
      </c>
      <c r="N15" s="39">
        <f>$D15+$D15*Quantitative_assumption_rates!N15</f>
        <v>0.26249999999999996</v>
      </c>
      <c r="O15" s="39">
        <f>$D15+$D15*Quantitative_assumption_rates!O15</f>
        <v>0.4375</v>
      </c>
    </row>
    <row r="16" spans="1:15" s="46" customFormat="1" x14ac:dyDescent="0.25">
      <c r="A16" s="665"/>
      <c r="B16" s="665"/>
      <c r="C16" s="53" t="s">
        <v>40</v>
      </c>
      <c r="D16" s="58">
        <v>0.75</v>
      </c>
      <c r="E16" s="39">
        <f>$D16+$D16*Quantitative_assumption_rates!E16</f>
        <v>0.9375</v>
      </c>
      <c r="F16" s="39">
        <f>$D16+$D16*Quantitative_assumption_rates!F16</f>
        <v>0.75</v>
      </c>
      <c r="G16" s="39">
        <f>$D16+$D16*Quantitative_assumption_rates!G16</f>
        <v>0.5625</v>
      </c>
      <c r="H16" s="39">
        <f>$D16+$D16*Quantitative_assumption_rates!H16</f>
        <v>0.75</v>
      </c>
      <c r="I16" s="39">
        <f t="shared" si="0"/>
        <v>0.65625</v>
      </c>
      <c r="J16" s="39">
        <f>$D16+$D16*Quantitative_assumption_rates!J16</f>
        <v>0.5625</v>
      </c>
      <c r="K16" s="39">
        <f>$D16+$D16*Quantitative_assumption_rates!K16</f>
        <v>0.9375</v>
      </c>
      <c r="L16" s="39">
        <f>$D16+$D16*Quantitative_assumption_rates!L16</f>
        <v>0.5625</v>
      </c>
      <c r="M16" s="39">
        <f>$D16+$D16*Quantitative_assumption_rates!M16</f>
        <v>0.5625</v>
      </c>
      <c r="N16" s="39">
        <f>$D16+$D16*Quantitative_assumption_rates!N16</f>
        <v>0.5625</v>
      </c>
      <c r="O16" s="39">
        <f>$D16+$D16*Quantitative_assumption_rates!O16</f>
        <v>0.9375</v>
      </c>
    </row>
    <row r="17" spans="1:15" s="46" customFormat="1" x14ac:dyDescent="0.25">
      <c r="A17" s="665"/>
      <c r="B17" s="86"/>
      <c r="C17" s="31"/>
      <c r="D17" s="31"/>
      <c r="E17" s="63"/>
      <c r="F17" s="31"/>
      <c r="G17" s="31"/>
      <c r="H17" s="57"/>
      <c r="I17" s="63"/>
      <c r="J17" s="57"/>
      <c r="K17" s="31"/>
      <c r="L17" s="477"/>
      <c r="M17" s="477"/>
      <c r="N17" s="477"/>
      <c r="O17" s="477"/>
    </row>
    <row r="18" spans="1:15" s="46" customFormat="1" x14ac:dyDescent="0.25">
      <c r="A18" s="665"/>
      <c r="B18" s="665" t="s">
        <v>180</v>
      </c>
      <c r="C18" s="52" t="s">
        <v>97</v>
      </c>
      <c r="D18" s="58">
        <v>1.25</v>
      </c>
      <c r="E18" s="39">
        <f>$D18+$D18*Quantitative_assumption_rates!E18</f>
        <v>1.875</v>
      </c>
      <c r="F18" s="39">
        <f>$D18+$D18*Quantitative_assumption_rates!F18</f>
        <v>1.25</v>
      </c>
      <c r="G18" s="39">
        <f>$D18+$D18*Quantitative_assumption_rates!G18</f>
        <v>0.625</v>
      </c>
      <c r="H18" s="39">
        <f>$D18+$D18*Quantitative_assumption_rates!H18</f>
        <v>1.25</v>
      </c>
      <c r="I18" s="39">
        <f t="shared" si="0"/>
        <v>1.5625</v>
      </c>
      <c r="J18" s="39">
        <f>$D18+$D18*Quantitative_assumption_rates!J18</f>
        <v>1.875</v>
      </c>
      <c r="K18" s="39">
        <f>$D18+$D18*Quantitative_assumption_rates!K18</f>
        <v>1.875</v>
      </c>
      <c r="L18" s="39">
        <f>$D18+$D18*Quantitative_assumption_rates!L18</f>
        <v>1.25</v>
      </c>
      <c r="M18" s="39">
        <f>$D18+$D18*Quantitative_assumption_rates!M18</f>
        <v>0.625</v>
      </c>
      <c r="N18" s="39">
        <f>$D18+$D18*Quantitative_assumption_rates!N18</f>
        <v>1.25</v>
      </c>
      <c r="O18" s="39">
        <f>$D18+$D18*Quantitative_assumption_rates!O18</f>
        <v>0.625</v>
      </c>
    </row>
    <row r="19" spans="1:15" x14ac:dyDescent="0.25">
      <c r="A19" s="665"/>
      <c r="B19" s="665"/>
      <c r="C19" s="50" t="s">
        <v>98</v>
      </c>
      <c r="D19" s="58">
        <v>5</v>
      </c>
      <c r="E19" s="39">
        <f>$D19+$D19*Quantitative_assumption_rates!E19</f>
        <v>2.5</v>
      </c>
      <c r="F19" s="39">
        <f>$D19+$D19*Quantitative_assumption_rates!F19</f>
        <v>5</v>
      </c>
      <c r="G19" s="39">
        <f>$D19+$D19*Quantitative_assumption_rates!G19</f>
        <v>7.5</v>
      </c>
      <c r="H19" s="39">
        <f>$D19+$D19*Quantitative_assumption_rates!H19</f>
        <v>5</v>
      </c>
      <c r="I19" s="39">
        <f t="shared" si="0"/>
        <v>3.75</v>
      </c>
      <c r="J19" s="39">
        <f>$D19+$D19*Quantitative_assumption_rates!J19</f>
        <v>2.5</v>
      </c>
      <c r="K19" s="39">
        <f>$D19+$D19*Quantitative_assumption_rates!K19</f>
        <v>2.5</v>
      </c>
      <c r="L19" s="39">
        <f>$D19+$D19*Quantitative_assumption_rates!L19</f>
        <v>5</v>
      </c>
      <c r="M19" s="39">
        <f>$D19+$D19*Quantitative_assumption_rates!M19</f>
        <v>7.5</v>
      </c>
      <c r="N19" s="39">
        <f>$D19+$D19*Quantitative_assumption_rates!N19</f>
        <v>5</v>
      </c>
      <c r="O19" s="39">
        <f>$D19+$D19*Quantitative_assumption_rates!O19</f>
        <v>7.5</v>
      </c>
    </row>
    <row r="20" spans="1:15" x14ac:dyDescent="0.25">
      <c r="A20" s="659" t="s">
        <v>144</v>
      </c>
      <c r="B20" s="87"/>
      <c r="C20" s="48"/>
      <c r="D20" s="31"/>
      <c r="E20" s="63"/>
      <c r="F20" s="31"/>
      <c r="G20" s="31"/>
      <c r="H20" s="57"/>
      <c r="I20" s="63"/>
      <c r="J20" s="57"/>
      <c r="K20" s="31"/>
      <c r="L20" s="477"/>
      <c r="M20" s="477"/>
      <c r="N20" s="477"/>
      <c r="O20" s="477"/>
    </row>
    <row r="21" spans="1:15" x14ac:dyDescent="0.25">
      <c r="A21" s="659"/>
      <c r="B21" s="665" t="s">
        <v>240</v>
      </c>
      <c r="C21" s="53" t="s">
        <v>50</v>
      </c>
      <c r="D21" s="58">
        <v>1</v>
      </c>
      <c r="E21" s="39">
        <f>$D21+$D21*Quantitative_assumption_rates!E21</f>
        <v>0.75</v>
      </c>
      <c r="F21" s="39">
        <f>$D21+$D21*Quantitative_assumption_rates!F21</f>
        <v>1</v>
      </c>
      <c r="G21" s="39">
        <f>$D21+$D21*Quantitative_assumption_rates!G21</f>
        <v>1.25</v>
      </c>
      <c r="H21" s="39">
        <f>$D21+$D21*Quantitative_assumption_rates!H21</f>
        <v>0.75</v>
      </c>
      <c r="I21" s="39">
        <f t="shared" si="0"/>
        <v>1</v>
      </c>
      <c r="J21" s="39">
        <f>$D21+$D21*Quantitative_assumption_rates!J21</f>
        <v>1.25</v>
      </c>
      <c r="K21" s="39">
        <f>$D21+$D21*Quantitative_assumption_rates!K21</f>
        <v>0.875</v>
      </c>
      <c r="L21" s="39">
        <f>$D21+$D21*Quantitative_assumption_rates!L21</f>
        <v>1.25</v>
      </c>
      <c r="M21" s="39">
        <f>$D21+$D21*Quantitative_assumption_rates!M21</f>
        <v>1.25</v>
      </c>
      <c r="N21" s="39">
        <f>$D21+$D21*Quantitative_assumption_rates!N21</f>
        <v>0.75</v>
      </c>
      <c r="O21" s="39">
        <f>$D21+$D21*Quantitative_assumption_rates!O21</f>
        <v>0.75</v>
      </c>
    </row>
    <row r="22" spans="1:15" x14ac:dyDescent="0.25">
      <c r="A22" s="659"/>
      <c r="B22" s="665"/>
      <c r="C22" s="54" t="s">
        <v>85</v>
      </c>
      <c r="D22" s="58">
        <v>2</v>
      </c>
      <c r="E22" s="39">
        <f>$D22+$D22*Quantitative_assumption_rates!E22</f>
        <v>3</v>
      </c>
      <c r="F22" s="39">
        <f>$D22+$D22*Quantitative_assumption_rates!F22</f>
        <v>2</v>
      </c>
      <c r="G22" s="39">
        <f>$D22+$D22*Quantitative_assumption_rates!G22</f>
        <v>1</v>
      </c>
      <c r="H22" s="39">
        <f>$D22+$D22*Quantitative_assumption_rates!H22</f>
        <v>2</v>
      </c>
      <c r="I22" s="39">
        <f t="shared" si="0"/>
        <v>1.5</v>
      </c>
      <c r="J22" s="39">
        <f>$D22+$D22*Quantitative_assumption_rates!J22</f>
        <v>1</v>
      </c>
      <c r="K22" s="39">
        <f>$D22+$D22*Quantitative_assumption_rates!K22</f>
        <v>1</v>
      </c>
      <c r="L22" s="39">
        <f>$D22+$D22*Quantitative_assumption_rates!L22</f>
        <v>1</v>
      </c>
      <c r="M22" s="39">
        <f>$D22+$D22*Quantitative_assumption_rates!M22</f>
        <v>1</v>
      </c>
      <c r="N22" s="39">
        <f>$D22+$D22*Quantitative_assumption_rates!N22</f>
        <v>3</v>
      </c>
      <c r="O22" s="39">
        <f>$D22+$D22*Quantitative_assumption_rates!O22</f>
        <v>3</v>
      </c>
    </row>
    <row r="23" spans="1:15" x14ac:dyDescent="0.25">
      <c r="A23" s="659"/>
      <c r="B23" s="87"/>
      <c r="C23" s="48"/>
      <c r="D23" s="31"/>
      <c r="E23" s="63"/>
      <c r="F23" s="31"/>
      <c r="G23" s="31"/>
      <c r="H23" s="57"/>
      <c r="I23" s="63"/>
      <c r="J23" s="57"/>
      <c r="K23" s="31"/>
      <c r="L23" s="477"/>
      <c r="M23" s="477"/>
      <c r="N23" s="477"/>
      <c r="O23" s="477"/>
    </row>
    <row r="24" spans="1:15" x14ac:dyDescent="0.25">
      <c r="A24" s="659"/>
      <c r="B24" s="665" t="s">
        <v>181</v>
      </c>
      <c r="C24" s="52" t="s">
        <v>44</v>
      </c>
      <c r="D24" s="58">
        <v>1.9999999999999999E-6</v>
      </c>
      <c r="E24" s="39">
        <f>$D24+$D24*Quantitative_assumption_rates!E24</f>
        <v>2.4999999999999998E-6</v>
      </c>
      <c r="F24" s="39">
        <f>$D24+$D24*Quantitative_assumption_rates!F24</f>
        <v>1.9999999999999999E-6</v>
      </c>
      <c r="G24" s="39">
        <f>$D24+$D24*Quantitative_assumption_rates!G24</f>
        <v>1.5E-6</v>
      </c>
      <c r="H24" s="39">
        <f>$D24+$D24*Quantitative_assumption_rates!H24</f>
        <v>1.9999999999999999E-6</v>
      </c>
      <c r="I24" s="39">
        <f t="shared" si="0"/>
        <v>1.75E-6</v>
      </c>
      <c r="J24" s="39">
        <f>$D24+$D24*Quantitative_assumption_rates!J24</f>
        <v>1.5E-6</v>
      </c>
      <c r="K24" s="39">
        <f>$D24+$D24*Quantitative_assumption_rates!K24</f>
        <v>2.4999999999999998E-6</v>
      </c>
      <c r="L24" s="39">
        <f>$D24+$D24*Quantitative_assumption_rates!L24</f>
        <v>1.5E-6</v>
      </c>
      <c r="M24" s="39">
        <f>$D24+$D24*Quantitative_assumption_rates!M24</f>
        <v>2.4999999999999998E-6</v>
      </c>
      <c r="N24" s="39">
        <f>$D24+$D24*Quantitative_assumption_rates!N24</f>
        <v>1.5E-6</v>
      </c>
      <c r="O24" s="39">
        <f>$D24+$D24*Quantitative_assumption_rates!O24</f>
        <v>2.4999999999999998E-6</v>
      </c>
    </row>
    <row r="25" spans="1:15" x14ac:dyDescent="0.25">
      <c r="A25" s="659"/>
      <c r="B25" s="665"/>
      <c r="C25" s="52" t="s">
        <v>45</v>
      </c>
      <c r="D25" s="58">
        <v>0.6</v>
      </c>
      <c r="E25" s="39">
        <f>$D25+$D25*Quantitative_assumption_rates!E25</f>
        <v>0.44999999999999996</v>
      </c>
      <c r="F25" s="39">
        <f>$D25+$D25*Quantitative_assumption_rates!F25</f>
        <v>0.6</v>
      </c>
      <c r="G25" s="39">
        <f>$D25+$D25*Quantitative_assumption_rates!G25</f>
        <v>0.75</v>
      </c>
      <c r="H25" s="39">
        <f>$D25+$D25*Quantitative_assumption_rates!H25</f>
        <v>0.44999999999999996</v>
      </c>
      <c r="I25" s="39">
        <f t="shared" si="0"/>
        <v>0.6</v>
      </c>
      <c r="J25" s="39">
        <f>$D25+$D25*Quantitative_assumption_rates!J25</f>
        <v>0.75</v>
      </c>
      <c r="K25" s="39">
        <f>$D25+$D25*Quantitative_assumption_rates!K25</f>
        <v>0.75</v>
      </c>
      <c r="L25" s="39">
        <f>$D25+$D25*Quantitative_assumption_rates!L25</f>
        <v>0.75</v>
      </c>
      <c r="M25" s="39">
        <f>$D25+$D25*Quantitative_assumption_rates!M25</f>
        <v>0.75</v>
      </c>
      <c r="N25" s="39">
        <f>$D25+$D25*Quantitative_assumption_rates!N25</f>
        <v>0.44999999999999996</v>
      </c>
      <c r="O25" s="39">
        <f>$D25+$D25*Quantitative_assumption_rates!O25</f>
        <v>0.44999999999999996</v>
      </c>
    </row>
    <row r="26" spans="1:15" x14ac:dyDescent="0.25">
      <c r="A26" s="659"/>
      <c r="B26" s="665"/>
      <c r="C26" s="52" t="s">
        <v>46</v>
      </c>
      <c r="D26" s="58">
        <v>0.54</v>
      </c>
      <c r="E26" s="39">
        <f>$D26+$D26*Quantitative_assumption_rates!E26</f>
        <v>0.40500000000000003</v>
      </c>
      <c r="F26" s="39">
        <f>$D26+$D26*Quantitative_assumption_rates!F26</f>
        <v>0.54</v>
      </c>
      <c r="G26" s="39">
        <f>$D26+$D26*Quantitative_assumption_rates!G26</f>
        <v>0.67500000000000004</v>
      </c>
      <c r="H26" s="39">
        <f>$D26+$D26*Quantitative_assumption_rates!H26</f>
        <v>0.40500000000000003</v>
      </c>
      <c r="I26" s="39">
        <f t="shared" si="0"/>
        <v>0.54</v>
      </c>
      <c r="J26" s="39">
        <f>$D26+$D26*Quantitative_assumption_rates!J26</f>
        <v>0.67500000000000004</v>
      </c>
      <c r="K26" s="39">
        <f>$D26+$D26*Quantitative_assumption_rates!K26</f>
        <v>0.67500000000000004</v>
      </c>
      <c r="L26" s="39">
        <f>$D26+$D26*Quantitative_assumption_rates!L26</f>
        <v>0.67500000000000004</v>
      </c>
      <c r="M26" s="39">
        <f>$D26+$D26*Quantitative_assumption_rates!M26</f>
        <v>0.67500000000000004</v>
      </c>
      <c r="N26" s="39">
        <f>$D26+$D26*Quantitative_assumption_rates!N26</f>
        <v>0.40500000000000003</v>
      </c>
      <c r="O26" s="39">
        <f>$D26+$D26*Quantitative_assumption_rates!O26</f>
        <v>0.40500000000000003</v>
      </c>
    </row>
    <row r="27" spans="1:15" x14ac:dyDescent="0.25">
      <c r="A27" s="659"/>
      <c r="B27" s="665"/>
      <c r="C27" s="52" t="s">
        <v>47</v>
      </c>
      <c r="D27" s="58">
        <v>0.89</v>
      </c>
      <c r="E27" s="39">
        <f>$D27+$D27*Quantitative_assumption_rates!E27</f>
        <v>0.66749999999999998</v>
      </c>
      <c r="F27" s="39">
        <f>$D27+$D27*Quantitative_assumption_rates!F27</f>
        <v>0.89</v>
      </c>
      <c r="G27" s="39">
        <f>$D27+$D27*Quantitative_assumption_rates!G27</f>
        <v>1.1125</v>
      </c>
      <c r="H27" s="39">
        <f>$D27+$D27*Quantitative_assumption_rates!H27</f>
        <v>0.66749999999999998</v>
      </c>
      <c r="I27" s="39">
        <f t="shared" si="0"/>
        <v>0.89</v>
      </c>
      <c r="J27" s="39">
        <f>$D27+$D27*Quantitative_assumption_rates!J27</f>
        <v>1.1125</v>
      </c>
      <c r="K27" s="39">
        <f>$D27+$D27*Quantitative_assumption_rates!K27</f>
        <v>1.1125</v>
      </c>
      <c r="L27" s="39">
        <f>$D27+$D27*Quantitative_assumption_rates!L27</f>
        <v>1.1125</v>
      </c>
      <c r="M27" s="39">
        <f>$D27+$D27*Quantitative_assumption_rates!M27</f>
        <v>1.1125</v>
      </c>
      <c r="N27" s="39">
        <f>$D27+$D27*Quantitative_assumption_rates!N27</f>
        <v>0.66749999999999998</v>
      </c>
      <c r="O27" s="39">
        <f>$D27+$D27*Quantitative_assumption_rates!O27</f>
        <v>0.66749999999999998</v>
      </c>
    </row>
    <row r="28" spans="1:15" x14ac:dyDescent="0.25">
      <c r="A28" s="659"/>
      <c r="B28" s="665"/>
      <c r="C28" s="53" t="s">
        <v>48</v>
      </c>
      <c r="D28" s="58">
        <v>1</v>
      </c>
      <c r="E28" s="39">
        <f>$D28+$D28*Quantitative_assumption_rates!E28</f>
        <v>1.25</v>
      </c>
      <c r="F28" s="39">
        <f>$D28+$D28*Quantitative_assumption_rates!F28</f>
        <v>1</v>
      </c>
      <c r="G28" s="39">
        <f>$D28+$D28*Quantitative_assumption_rates!G28</f>
        <v>0.75</v>
      </c>
      <c r="H28" s="39">
        <f>$D28+$D28*Quantitative_assumption_rates!H28</f>
        <v>1.25</v>
      </c>
      <c r="I28" s="39">
        <f t="shared" si="0"/>
        <v>1</v>
      </c>
      <c r="J28" s="39">
        <f>$D28+$D28*Quantitative_assumption_rates!J28</f>
        <v>0.75</v>
      </c>
      <c r="K28" s="39">
        <f>$D28+$D28*Quantitative_assumption_rates!K28</f>
        <v>0.875</v>
      </c>
      <c r="L28" s="39">
        <f>$D28+$D28*Quantitative_assumption_rates!L28</f>
        <v>0.75</v>
      </c>
      <c r="M28" s="39">
        <f>$D28+$D28*Quantitative_assumption_rates!M28</f>
        <v>0.75</v>
      </c>
      <c r="N28" s="39">
        <f>$D28+$D28*Quantitative_assumption_rates!N28</f>
        <v>1.25</v>
      </c>
      <c r="O28" s="39">
        <f>$D28+$D28*Quantitative_assumption_rates!O28</f>
        <v>1.25</v>
      </c>
    </row>
    <row r="29" spans="1:15" x14ac:dyDescent="0.25">
      <c r="A29" s="659"/>
      <c r="B29" s="665"/>
      <c r="C29" s="52" t="s">
        <v>49</v>
      </c>
      <c r="D29" s="58">
        <v>0.8</v>
      </c>
      <c r="E29" s="39">
        <f>$D29+$D29*Quantitative_assumption_rates!E29</f>
        <v>0.8</v>
      </c>
      <c r="F29" s="39">
        <f>$D29+$D29*Quantitative_assumption_rates!F29</f>
        <v>0.8</v>
      </c>
      <c r="G29" s="39">
        <f>$D29+$D29*Quantitative_assumption_rates!G29</f>
        <v>1</v>
      </c>
      <c r="H29" s="39">
        <f>$D29+$D29*Quantitative_assumption_rates!H29</f>
        <v>0.60000000000000009</v>
      </c>
      <c r="I29" s="39">
        <f t="shared" si="0"/>
        <v>0.8</v>
      </c>
      <c r="J29" s="39">
        <f>$D29+$D29*Quantitative_assumption_rates!J29</f>
        <v>1</v>
      </c>
      <c r="K29" s="39">
        <f>$D29+$D29*Quantitative_assumption_rates!K29</f>
        <v>0.8</v>
      </c>
      <c r="L29" s="39">
        <f>$D29+$D29*Quantitative_assumption_rates!L29</f>
        <v>1</v>
      </c>
      <c r="M29" s="39">
        <f>$D29+$D29*Quantitative_assumption_rates!M29</f>
        <v>1</v>
      </c>
      <c r="N29" s="39">
        <f>$D29+$D29*Quantitative_assumption_rates!N29</f>
        <v>0.8</v>
      </c>
      <c r="O29" s="39">
        <f>$D29+$D29*Quantitative_assumption_rates!O29</f>
        <v>0.8</v>
      </c>
    </row>
    <row r="30" spans="1:15" x14ac:dyDescent="0.25">
      <c r="A30" s="659" t="s">
        <v>172</v>
      </c>
      <c r="B30" s="87"/>
      <c r="C30" s="48"/>
      <c r="D30" s="31"/>
      <c r="E30" s="63"/>
      <c r="F30" s="31"/>
      <c r="G30" s="31"/>
      <c r="H30" s="57"/>
      <c r="I30" s="63"/>
      <c r="J30" s="57"/>
      <c r="K30" s="31"/>
      <c r="L30" s="477"/>
      <c r="M30" s="477"/>
      <c r="N30" s="477"/>
      <c r="O30" s="477"/>
    </row>
    <row r="31" spans="1:15" s="46" customFormat="1" ht="14.25" customHeight="1" x14ac:dyDescent="0.25">
      <c r="A31" s="659"/>
      <c r="B31" s="665" t="s">
        <v>182</v>
      </c>
      <c r="C31" s="54" t="s">
        <v>84</v>
      </c>
      <c r="D31" s="58">
        <v>10</v>
      </c>
      <c r="E31" s="39">
        <f>$D31+$D31*Quantitative_assumption_rates!E31</f>
        <v>10</v>
      </c>
      <c r="F31" s="39">
        <f>$D31+$D31*Quantitative_assumption_rates!F31</f>
        <v>10</v>
      </c>
      <c r="G31" s="39">
        <f>$D31+$D31*Quantitative_assumption_rates!G31</f>
        <v>10</v>
      </c>
      <c r="H31" s="39">
        <f>$D31+$D31*Quantitative_assumption_rates!H31</f>
        <v>10</v>
      </c>
      <c r="I31" s="39">
        <f t="shared" si="0"/>
        <v>10</v>
      </c>
      <c r="J31" s="39">
        <f>$D31+$D31*Quantitative_assumption_rates!J31</f>
        <v>10</v>
      </c>
      <c r="K31" s="39">
        <f>$D31+$D31*Quantitative_assumption_rates!K31</f>
        <v>10</v>
      </c>
      <c r="L31" s="39">
        <f>$D31+$D31*Quantitative_assumption_rates!L31</f>
        <v>10</v>
      </c>
      <c r="M31" s="39">
        <f>$D31+$D31*Quantitative_assumption_rates!M31</f>
        <v>10</v>
      </c>
      <c r="N31" s="39">
        <f>$D31+$D31*Quantitative_assumption_rates!N31</f>
        <v>10</v>
      </c>
      <c r="O31" s="39">
        <f>$D31+$D31*Quantitative_assumption_rates!O31</f>
        <v>10</v>
      </c>
    </row>
    <row r="32" spans="1:15" s="46" customFormat="1" x14ac:dyDescent="0.25">
      <c r="A32" s="659"/>
      <c r="B32" s="665"/>
      <c r="C32" s="53" t="s">
        <v>78</v>
      </c>
      <c r="D32" s="58">
        <v>9.8000000000000004E-2</v>
      </c>
      <c r="E32" s="39">
        <f>$D32+$D32*Quantitative_assumption_rates!E32</f>
        <v>9.8000000000000004E-2</v>
      </c>
      <c r="F32" s="39">
        <f>$D32+$D32*Quantitative_assumption_rates!F32</f>
        <v>9.8000000000000004E-2</v>
      </c>
      <c r="G32" s="39">
        <f>$D32+$D32*Quantitative_assumption_rates!G32</f>
        <v>4.9000000000000002E-2</v>
      </c>
      <c r="H32" s="39">
        <f>$D32+$D32*Quantitative_assumption_rates!H32</f>
        <v>9.8000000000000004E-2</v>
      </c>
      <c r="I32" s="39">
        <f t="shared" si="0"/>
        <v>9.8000000000000004E-2</v>
      </c>
      <c r="J32" s="39">
        <f>$D32+$D32*Quantitative_assumption_rates!J32</f>
        <v>9.8000000000000004E-2</v>
      </c>
      <c r="K32" s="39">
        <f>$D32+$D32*Quantitative_assumption_rates!K32</f>
        <v>0.14700000000000002</v>
      </c>
      <c r="L32" s="39">
        <f>$D32+$D32*Quantitative_assumption_rates!L32</f>
        <v>4.9000000000000002E-2</v>
      </c>
      <c r="M32" s="39">
        <f>$D32+$D32*Quantitative_assumption_rates!M32</f>
        <v>4.9000000000000002E-2</v>
      </c>
      <c r="N32" s="39">
        <f>$D32+$D32*Quantitative_assumption_rates!N32</f>
        <v>9.8000000000000004E-2</v>
      </c>
      <c r="O32" s="39">
        <f>$D32+$D32*Quantitative_assumption_rates!O32</f>
        <v>4.9000000000000002E-2</v>
      </c>
    </row>
    <row r="33" spans="1:15" s="46" customFormat="1" x14ac:dyDescent="0.25">
      <c r="A33" s="659"/>
      <c r="B33" s="665"/>
      <c r="C33" s="52" t="s">
        <v>77</v>
      </c>
      <c r="D33" s="60">
        <v>3E-11</v>
      </c>
      <c r="E33" s="39">
        <f>$D33+$D33*Quantitative_assumption_rates!E33</f>
        <v>3E-11</v>
      </c>
      <c r="F33" s="39">
        <f>$D33+$D33*Quantitative_assumption_rates!F33</f>
        <v>3E-11</v>
      </c>
      <c r="G33" s="39">
        <f>$D33+$D33*Quantitative_assumption_rates!G33</f>
        <v>1.5E-11</v>
      </c>
      <c r="H33" s="39">
        <f>$D33+$D33*Quantitative_assumption_rates!H33</f>
        <v>3E-11</v>
      </c>
      <c r="I33" s="39">
        <f t="shared" si="0"/>
        <v>3E-11</v>
      </c>
      <c r="J33" s="39">
        <f>$D33+$D33*Quantitative_assumption_rates!J33</f>
        <v>3E-11</v>
      </c>
      <c r="K33" s="39">
        <f>$D33+$D33*Quantitative_assumption_rates!K33</f>
        <v>4.5E-11</v>
      </c>
      <c r="L33" s="39">
        <f>$D33+$D33*Quantitative_assumption_rates!L33</f>
        <v>1.5E-11</v>
      </c>
      <c r="M33" s="39">
        <f>$D33+$D33*Quantitative_assumption_rates!M33</f>
        <v>1.5E-11</v>
      </c>
      <c r="N33" s="39">
        <f>$D33+$D33*Quantitative_assumption_rates!N33</f>
        <v>3E-11</v>
      </c>
      <c r="O33" s="39">
        <f>$D33+$D33*Quantitative_assumption_rates!O33</f>
        <v>1.5E-11</v>
      </c>
    </row>
    <row r="34" spans="1:15" s="46" customFormat="1" x14ac:dyDescent="0.25">
      <c r="A34" s="659"/>
      <c r="B34" s="665"/>
      <c r="C34" s="52" t="s">
        <v>73</v>
      </c>
      <c r="D34" s="60">
        <v>2.8E-11</v>
      </c>
      <c r="E34" s="39">
        <f>$D34+$D34*Quantitative_assumption_rates!E34</f>
        <v>2.8E-11</v>
      </c>
      <c r="F34" s="39">
        <f>$D34+$D34*Quantitative_assumption_rates!F34</f>
        <v>2.8E-11</v>
      </c>
      <c r="G34" s="39">
        <f>$D34+$D34*Quantitative_assumption_rates!G34</f>
        <v>1.4E-11</v>
      </c>
      <c r="H34" s="39">
        <f>$D34+$D34*Quantitative_assumption_rates!H34</f>
        <v>2.8E-11</v>
      </c>
      <c r="I34" s="39">
        <f t="shared" si="0"/>
        <v>2.8E-11</v>
      </c>
      <c r="J34" s="39">
        <f>$D34+$D34*Quantitative_assumption_rates!J34</f>
        <v>2.8E-11</v>
      </c>
      <c r="K34" s="39">
        <f>$D34+$D34*Quantitative_assumption_rates!K34</f>
        <v>4.1999999999999997E-11</v>
      </c>
      <c r="L34" s="39">
        <f>$D34+$D34*Quantitative_assumption_rates!L34</f>
        <v>1.4E-11</v>
      </c>
      <c r="M34" s="39">
        <f>$D34+$D34*Quantitative_assumption_rates!M34</f>
        <v>1.4E-11</v>
      </c>
      <c r="N34" s="39">
        <f>$D34+$D34*Quantitative_assumption_rates!N34</f>
        <v>2.8E-11</v>
      </c>
      <c r="O34" s="39">
        <f>$D34+$D34*Quantitative_assumption_rates!O34</f>
        <v>1.4E-11</v>
      </c>
    </row>
    <row r="35" spans="1:15" s="46" customFormat="1" x14ac:dyDescent="0.25">
      <c r="A35" s="659"/>
      <c r="B35" s="665"/>
      <c r="C35" s="52" t="s">
        <v>59</v>
      </c>
      <c r="D35" s="501">
        <v>0.02</v>
      </c>
      <c r="E35" s="39">
        <f>$D35+$D35*Quantitative_assumption_rates!E35</f>
        <v>0.03</v>
      </c>
      <c r="F35" s="502">
        <f>$D35+$D35*Quantitative_assumption_rates!F35</f>
        <v>0.02</v>
      </c>
      <c r="G35" s="502">
        <f>$D35+$D35*Quantitative_assumption_rates!G35</f>
        <v>0.01</v>
      </c>
      <c r="H35" s="39">
        <f>$D35+$D35*Quantitative_assumption_rates!H35</f>
        <v>0.03</v>
      </c>
      <c r="I35" s="39">
        <f t="shared" si="0"/>
        <v>0.02</v>
      </c>
      <c r="J35" s="502">
        <f>$D35+$D35*Quantitative_assumption_rates!J35</f>
        <v>0.01</v>
      </c>
      <c r="K35" s="39">
        <f>$D35+$D35*Quantitative_assumption_rates!K35</f>
        <v>0.02</v>
      </c>
      <c r="L35" s="502">
        <f>$D35+$D35*Quantitative_assumption_rates!L35</f>
        <v>0.01</v>
      </c>
      <c r="M35" s="502">
        <f>$D35+$D35*Quantitative_assumption_rates!M35</f>
        <v>0.01</v>
      </c>
      <c r="N35" s="39">
        <f>$D35+$D35*Quantitative_assumption_rates!N35</f>
        <v>0.03</v>
      </c>
      <c r="O35" s="39">
        <f>$D35+$D35*Quantitative_assumption_rates!O35</f>
        <v>0.03</v>
      </c>
    </row>
    <row r="36" spans="1:15" s="46" customFormat="1" x14ac:dyDescent="0.25">
      <c r="A36" s="659"/>
      <c r="B36" s="665"/>
      <c r="C36" s="52" t="s">
        <v>56</v>
      </c>
      <c r="D36" s="501">
        <v>1.1000000000000001</v>
      </c>
      <c r="E36" s="39">
        <f>$D36+$D36*Quantitative_assumption_rates!E36</f>
        <v>1.375</v>
      </c>
      <c r="F36" s="502">
        <f>$D36+$D36*Quantitative_assumption_rates!F36</f>
        <v>1.1000000000000001</v>
      </c>
      <c r="G36" s="502">
        <f>$D36+$D36*Quantitative_assumption_rates!G36</f>
        <v>0.9900000000000001</v>
      </c>
      <c r="H36" s="39">
        <f>$D36+$D36*Quantitative_assumption_rates!H36</f>
        <v>1.375</v>
      </c>
      <c r="I36" s="39">
        <f t="shared" si="0"/>
        <v>1.1825000000000001</v>
      </c>
      <c r="J36" s="502">
        <f>$D36+$D36*Quantitative_assumption_rates!J36</f>
        <v>0.9900000000000001</v>
      </c>
      <c r="K36" s="39">
        <f>$D36+$D36*Quantitative_assumption_rates!K36</f>
        <v>1.1000000000000001</v>
      </c>
      <c r="L36" s="502">
        <f>$D36+$D36*Quantitative_assumption_rates!L36</f>
        <v>0.9900000000000001</v>
      </c>
      <c r="M36" s="502">
        <f>$D36+$D36*Quantitative_assumption_rates!M36</f>
        <v>0.9900000000000001</v>
      </c>
      <c r="N36" s="39">
        <f>$D36+$D36*Quantitative_assumption_rates!N36</f>
        <v>1.375</v>
      </c>
      <c r="O36" s="39">
        <f>$D36+$D36*Quantitative_assumption_rates!O36</f>
        <v>1.375</v>
      </c>
    </row>
    <row r="37" spans="1:15" s="46" customFormat="1" x14ac:dyDescent="0.25">
      <c r="A37" s="659"/>
      <c r="B37" s="665"/>
      <c r="C37" s="51" t="s">
        <v>133</v>
      </c>
      <c r="D37" s="58">
        <v>6</v>
      </c>
      <c r="E37" s="39">
        <f>$D37+$D37*Quantitative_assumption_rates!E37</f>
        <v>6</v>
      </c>
      <c r="F37" s="39">
        <f>$D37+$D37*Quantitative_assumption_rates!F37</f>
        <v>6</v>
      </c>
      <c r="G37" s="39">
        <f>$D37+$D37*Quantitative_assumption_rates!G37</f>
        <v>9</v>
      </c>
      <c r="H37" s="39">
        <f>$D37+$D37*Quantitative_assumption_rates!H37</f>
        <v>6</v>
      </c>
      <c r="I37" s="39">
        <f t="shared" si="0"/>
        <v>6</v>
      </c>
      <c r="J37" s="39">
        <f>$D37+$D37*Quantitative_assumption_rates!J37</f>
        <v>6</v>
      </c>
      <c r="K37" s="39">
        <f>$D37+$D37*Quantitative_assumption_rates!K37</f>
        <v>3</v>
      </c>
      <c r="L37" s="39">
        <f>$D37+$D37*Quantitative_assumption_rates!L37</f>
        <v>9</v>
      </c>
      <c r="M37" s="39">
        <f>$D37+$D37*Quantitative_assumption_rates!M37</f>
        <v>9</v>
      </c>
      <c r="N37" s="39">
        <f>$D37+$D37*Quantitative_assumption_rates!N37</f>
        <v>6</v>
      </c>
      <c r="O37" s="39">
        <f>$D37+$D37*Quantitative_assumption_rates!O37</f>
        <v>6</v>
      </c>
    </row>
    <row r="38" spans="1:15" s="46" customFormat="1" x14ac:dyDescent="0.25">
      <c r="A38" s="659"/>
      <c r="B38" s="665"/>
      <c r="C38" s="51" t="s">
        <v>1060</v>
      </c>
      <c r="D38" s="59">
        <v>0</v>
      </c>
      <c r="E38" s="66">
        <v>1</v>
      </c>
      <c r="F38" s="66">
        <v>0</v>
      </c>
      <c r="G38" s="66">
        <v>0</v>
      </c>
      <c r="H38" s="66">
        <v>1</v>
      </c>
      <c r="I38" s="66">
        <v>1</v>
      </c>
      <c r="J38" s="66">
        <v>0</v>
      </c>
      <c r="K38" s="66">
        <v>1</v>
      </c>
      <c r="L38" s="66">
        <v>0</v>
      </c>
      <c r="M38" s="66">
        <v>0</v>
      </c>
      <c r="N38" s="66">
        <v>1</v>
      </c>
      <c r="O38" s="66">
        <v>1</v>
      </c>
    </row>
    <row r="39" spans="1:15" x14ac:dyDescent="0.25">
      <c r="A39" s="659"/>
      <c r="B39" s="87"/>
      <c r="C39" s="48"/>
      <c r="D39" s="31"/>
      <c r="E39" s="63"/>
      <c r="F39" s="31"/>
      <c r="G39" s="31"/>
      <c r="H39" s="57"/>
      <c r="I39" s="63"/>
      <c r="J39" s="57"/>
      <c r="K39" s="31"/>
      <c r="L39" s="477"/>
      <c r="M39" s="477"/>
      <c r="N39" s="477"/>
      <c r="O39" s="477"/>
    </row>
    <row r="40" spans="1:15" x14ac:dyDescent="0.25">
      <c r="A40" s="659"/>
      <c r="B40" s="665" t="s">
        <v>183</v>
      </c>
      <c r="C40" s="52" t="s">
        <v>71</v>
      </c>
      <c r="D40" s="58">
        <v>0.04</v>
      </c>
      <c r="E40" s="39">
        <f>$D40+$D40*Quantitative_assumption_rates!E40</f>
        <v>0.02</v>
      </c>
      <c r="F40" s="39">
        <f>$D40+$D40*Quantitative_assumption_rates!F40</f>
        <v>0.04</v>
      </c>
      <c r="G40" s="39">
        <f>$D40+$D40*Quantitative_assumption_rates!G40</f>
        <v>0.06</v>
      </c>
      <c r="H40" s="39">
        <f>$D40+$D40*Quantitative_assumption_rates!H40</f>
        <v>0.02</v>
      </c>
      <c r="I40" s="39">
        <f t="shared" si="0"/>
        <v>0.04</v>
      </c>
      <c r="J40" s="39">
        <f>$D40+$D40*Quantitative_assumption_rates!J40</f>
        <v>0.06</v>
      </c>
      <c r="K40" s="39">
        <f>$D40+$D40*Quantitative_assumption_rates!K40</f>
        <v>0.06</v>
      </c>
      <c r="L40" s="39">
        <f>$D40+$D40*Quantitative_assumption_rates!L40</f>
        <v>0.02</v>
      </c>
      <c r="M40" s="39">
        <f>$D40+$D40*Quantitative_assumption_rates!M40</f>
        <v>0.06</v>
      </c>
      <c r="N40" s="39">
        <f>$D40+$D40*Quantitative_assumption_rates!N40</f>
        <v>0.02</v>
      </c>
      <c r="O40" s="39">
        <f>$D40+$D40*Quantitative_assumption_rates!O40</f>
        <v>0.02</v>
      </c>
    </row>
    <row r="41" spans="1:15" x14ac:dyDescent="0.25">
      <c r="A41" s="659"/>
      <c r="B41" s="665"/>
      <c r="C41" s="52" t="s">
        <v>75</v>
      </c>
      <c r="D41" s="58">
        <v>0.04</v>
      </c>
      <c r="E41" s="39">
        <f>$D41+$D41*Quantitative_assumption_rates!E41</f>
        <v>0.02</v>
      </c>
      <c r="F41" s="39">
        <f>$D41+$D41*Quantitative_assumption_rates!F41</f>
        <v>0.04</v>
      </c>
      <c r="G41" s="39">
        <f>$D41+$D41*Quantitative_assumption_rates!G41</f>
        <v>0.06</v>
      </c>
      <c r="H41" s="39">
        <f>$D41+$D41*Quantitative_assumption_rates!H41</f>
        <v>0.02</v>
      </c>
      <c r="I41" s="39">
        <f t="shared" si="0"/>
        <v>0.04</v>
      </c>
      <c r="J41" s="39">
        <f>$D41+$D41*Quantitative_assumption_rates!J41</f>
        <v>0.06</v>
      </c>
      <c r="K41" s="39">
        <f>$D41+$D41*Quantitative_assumption_rates!K41</f>
        <v>0.06</v>
      </c>
      <c r="L41" s="39">
        <f>$D41+$D41*Quantitative_assumption_rates!L41</f>
        <v>0.02</v>
      </c>
      <c r="M41" s="39">
        <f>$D41+$D41*Quantitative_assumption_rates!M41</f>
        <v>0.06</v>
      </c>
      <c r="N41" s="39">
        <f>$D41+$D41*Quantitative_assumption_rates!N41</f>
        <v>0.02</v>
      </c>
      <c r="O41" s="39">
        <f>$D41+$D41*Quantitative_assumption_rates!O41</f>
        <v>0.02</v>
      </c>
    </row>
    <row r="42" spans="1:15" x14ac:dyDescent="0.25">
      <c r="A42" s="659"/>
      <c r="B42" s="665"/>
      <c r="C42" s="52" t="s">
        <v>79</v>
      </c>
      <c r="D42" s="58">
        <v>0.04</v>
      </c>
      <c r="E42" s="39">
        <f>$D42+$D42*Quantitative_assumption_rates!E42</f>
        <v>0.02</v>
      </c>
      <c r="F42" s="39">
        <f>$D42+$D42*Quantitative_assumption_rates!F42</f>
        <v>0.04</v>
      </c>
      <c r="G42" s="39">
        <f>$D42+$D42*Quantitative_assumption_rates!G42</f>
        <v>0.06</v>
      </c>
      <c r="H42" s="39">
        <f>$D42+$D42*Quantitative_assumption_rates!H42</f>
        <v>0.02</v>
      </c>
      <c r="I42" s="39">
        <f t="shared" si="0"/>
        <v>0.04</v>
      </c>
      <c r="J42" s="39">
        <f>$D42+$D42*Quantitative_assumption_rates!J42</f>
        <v>0.06</v>
      </c>
      <c r="K42" s="39">
        <f>$D42+$D42*Quantitative_assumption_rates!K42</f>
        <v>0.06</v>
      </c>
      <c r="L42" s="39">
        <f>$D42+$D42*Quantitative_assumption_rates!L42</f>
        <v>0.02</v>
      </c>
      <c r="M42" s="39">
        <f>$D42+$D42*Quantitative_assumption_rates!M42</f>
        <v>0.06</v>
      </c>
      <c r="N42" s="39">
        <f>$D42+$D42*Quantitative_assumption_rates!N42</f>
        <v>0.02</v>
      </c>
      <c r="O42" s="39">
        <f>$D42+$D42*Quantitative_assumption_rates!O42</f>
        <v>0.02</v>
      </c>
    </row>
    <row r="43" spans="1:15" x14ac:dyDescent="0.25">
      <c r="A43" s="659"/>
      <c r="B43" s="665"/>
      <c r="C43" s="52" t="s">
        <v>53</v>
      </c>
      <c r="D43" s="60">
        <v>500000000000</v>
      </c>
      <c r="E43" s="39">
        <f>$D43+$D43*Quantitative_assumption_rates!E43</f>
        <v>625000000000</v>
      </c>
      <c r="F43" s="39">
        <f>$D43+$D43*Quantitative_assumption_rates!F43</f>
        <v>500000000000</v>
      </c>
      <c r="G43" s="39">
        <f>$D43+$D43*Quantitative_assumption_rates!G43</f>
        <v>375000000000</v>
      </c>
      <c r="H43" s="39">
        <f>$D43+$D43*Quantitative_assumption_rates!H43</f>
        <v>625000000000</v>
      </c>
      <c r="I43" s="39">
        <f t="shared" si="0"/>
        <v>625000000000</v>
      </c>
      <c r="J43" s="39">
        <f>$D43+$D43*Quantitative_assumption_rates!J43</f>
        <v>625000000000</v>
      </c>
      <c r="K43" s="39">
        <f>$D43+$D43*Quantitative_assumption_rates!K43</f>
        <v>375000000000</v>
      </c>
      <c r="L43" s="39">
        <f>$D43+$D43*Quantitative_assumption_rates!L43</f>
        <v>375000000000</v>
      </c>
      <c r="M43" s="39">
        <f>$D43+$D43*Quantitative_assumption_rates!M43</f>
        <v>375000000000</v>
      </c>
      <c r="N43" s="39">
        <f>$D43+$D43*Quantitative_assumption_rates!N43</f>
        <v>375000000000</v>
      </c>
      <c r="O43" s="39">
        <f>$D43+$D43*Quantitative_assumption_rates!O43</f>
        <v>625000000000</v>
      </c>
    </row>
    <row r="44" spans="1:15" x14ac:dyDescent="0.25">
      <c r="A44" s="659"/>
      <c r="B44" s="665"/>
      <c r="C44" s="51" t="s">
        <v>82</v>
      </c>
      <c r="D44" s="58">
        <v>5</v>
      </c>
      <c r="E44" s="39">
        <f>$D44+$D44*Quantitative_assumption_rates!E44</f>
        <v>7.5</v>
      </c>
      <c r="F44" s="39">
        <f>$D44+$D44*Quantitative_assumption_rates!F44</f>
        <v>5</v>
      </c>
      <c r="G44" s="39">
        <f>$D44+$D44*Quantitative_assumption_rates!G44</f>
        <v>2.5</v>
      </c>
      <c r="H44" s="39">
        <f>$D44+$D44*Quantitative_assumption_rates!H44</f>
        <v>7.5</v>
      </c>
      <c r="I44" s="39">
        <f t="shared" si="0"/>
        <v>7.5</v>
      </c>
      <c r="J44" s="39">
        <f>$D44+$D44*Quantitative_assumption_rates!J44</f>
        <v>7.5</v>
      </c>
      <c r="K44" s="39">
        <f>$D44+$D44*Quantitative_assumption_rates!K44</f>
        <v>2.5</v>
      </c>
      <c r="L44" s="39">
        <f>$D44+$D44*Quantitative_assumption_rates!L44</f>
        <v>2.5</v>
      </c>
      <c r="M44" s="39">
        <f>$D44+$D44*Quantitative_assumption_rates!M44</f>
        <v>2.5</v>
      </c>
      <c r="N44" s="39">
        <f>$D44+$D44*Quantitative_assumption_rates!N44</f>
        <v>2.5</v>
      </c>
      <c r="O44" s="39">
        <f>$D44+$D44*Quantitative_assumption_rates!O44</f>
        <v>7.5</v>
      </c>
    </row>
    <row r="45" spans="1:15" ht="14.25" customHeight="1" x14ac:dyDescent="0.25">
      <c r="A45" s="659" t="s">
        <v>173</v>
      </c>
      <c r="B45" s="87"/>
      <c r="C45" s="31"/>
      <c r="D45" s="31"/>
      <c r="E45" s="63"/>
      <c r="F45" s="31"/>
      <c r="G45" s="31"/>
      <c r="H45" s="57"/>
      <c r="I45" s="63"/>
      <c r="J45" s="57"/>
      <c r="K45" s="31"/>
      <c r="L45" s="477"/>
      <c r="M45" s="477"/>
      <c r="N45" s="477"/>
      <c r="O45" s="477"/>
    </row>
    <row r="46" spans="1:15" x14ac:dyDescent="0.25">
      <c r="A46" s="659"/>
      <c r="B46" s="665" t="s">
        <v>284</v>
      </c>
      <c r="C46" s="37" t="s">
        <v>171</v>
      </c>
      <c r="D46" s="58">
        <v>400000</v>
      </c>
      <c r="E46" s="39">
        <f>$D46+$D46*Quantitative_assumption_rates!E46</f>
        <v>200000</v>
      </c>
      <c r="F46" s="39">
        <f>$D46+$D46*Quantitative_assumption_rates!F46</f>
        <v>400000</v>
      </c>
      <c r="G46" s="39">
        <f>$D46+$D46*Quantitative_assumption_rates!G46</f>
        <v>500000</v>
      </c>
      <c r="H46" s="39">
        <f>$D46+$D46*Quantitative_assumption_rates!H46</f>
        <v>300000</v>
      </c>
      <c r="I46" s="39">
        <f t="shared" si="0"/>
        <v>350000</v>
      </c>
      <c r="J46" s="39">
        <f>$D46+$D46*Quantitative_assumption_rates!J46</f>
        <v>400000</v>
      </c>
      <c r="K46" s="39">
        <f>$D46+$D46*Quantitative_assumption_rates!K46</f>
        <v>600000</v>
      </c>
      <c r="L46" s="39">
        <f>$D46+$D46*Quantitative_assumption_rates!L46</f>
        <v>500000</v>
      </c>
      <c r="M46" s="39">
        <f>$D46+$D46*Quantitative_assumption_rates!M46</f>
        <v>600000</v>
      </c>
      <c r="N46" s="39">
        <f>$D46+$D46*Quantitative_assumption_rates!N46</f>
        <v>200000</v>
      </c>
      <c r="O46" s="39">
        <f>$D46+$D46*Quantitative_assumption_rates!O46</f>
        <v>200000</v>
      </c>
    </row>
    <row r="47" spans="1:15" x14ac:dyDescent="0.25">
      <c r="A47" s="659"/>
      <c r="B47" s="665"/>
      <c r="C47" s="51" t="s">
        <v>83</v>
      </c>
      <c r="D47" s="58">
        <v>1000000000</v>
      </c>
      <c r="E47" s="39">
        <f>$D47+$D47*Quantitative_assumption_rates!E47</f>
        <v>1000000000</v>
      </c>
      <c r="F47" s="39">
        <f>$D47+$D47*Quantitative_assumption_rates!F47</f>
        <v>1000000000</v>
      </c>
      <c r="G47" s="39">
        <f>$D47+$D47*Quantitative_assumption_rates!G47</f>
        <v>1500000000</v>
      </c>
      <c r="H47" s="39">
        <f>$D47+$D47*Quantitative_assumption_rates!H47</f>
        <v>1000000000</v>
      </c>
      <c r="I47" s="39">
        <f t="shared" si="0"/>
        <v>1000000000</v>
      </c>
      <c r="J47" s="39">
        <f>$D47+$D47*Quantitative_assumption_rates!J47</f>
        <v>1000000000</v>
      </c>
      <c r="K47" s="39">
        <f>$D47+$D47*Quantitative_assumption_rates!K47</f>
        <v>500000000</v>
      </c>
      <c r="L47" s="39">
        <f>$D47+$D47*Quantitative_assumption_rates!L47</f>
        <v>1000000000</v>
      </c>
      <c r="M47" s="39">
        <f>$D47+$D47*Quantitative_assumption_rates!M47</f>
        <v>500000000</v>
      </c>
      <c r="N47" s="39">
        <f>$D47+$D47*Quantitative_assumption_rates!N47</f>
        <v>1000000000</v>
      </c>
      <c r="O47" s="39">
        <f>$D47+$D47*Quantitative_assumption_rates!O47</f>
        <v>1000000000</v>
      </c>
    </row>
    <row r="48" spans="1:15" x14ac:dyDescent="0.25">
      <c r="A48" s="659"/>
      <c r="B48" s="665"/>
      <c r="C48" s="50" t="s">
        <v>58</v>
      </c>
      <c r="D48" s="58">
        <v>10</v>
      </c>
      <c r="E48" s="39">
        <f>$D48+$D48*Quantitative_assumption_rates!E48</f>
        <v>5</v>
      </c>
      <c r="F48" s="39">
        <f>$D48+$D48*Quantitative_assumption_rates!F48</f>
        <v>10</v>
      </c>
      <c r="G48" s="39">
        <f>$D48+$D48*Quantitative_assumption_rates!G48</f>
        <v>15</v>
      </c>
      <c r="H48" s="39">
        <f>$D48+$D48*Quantitative_assumption_rates!H48</f>
        <v>5</v>
      </c>
      <c r="I48" s="39">
        <f t="shared" si="0"/>
        <v>5</v>
      </c>
      <c r="J48" s="39">
        <f>$D48+$D48*Quantitative_assumption_rates!J48</f>
        <v>5</v>
      </c>
      <c r="K48" s="39">
        <f>$D48+$D48*Quantitative_assumption_rates!K48</f>
        <v>10</v>
      </c>
      <c r="L48" s="39">
        <f>$D48+$D48*Quantitative_assumption_rates!L48</f>
        <v>10</v>
      </c>
      <c r="M48" s="39">
        <f>$D48+$D48*Quantitative_assumption_rates!M48</f>
        <v>15</v>
      </c>
      <c r="N48" s="39">
        <f>$D48+$D48*Quantitative_assumption_rates!N48</f>
        <v>5</v>
      </c>
      <c r="O48" s="39">
        <f>$D48+$D48*Quantitative_assumption_rates!O48</f>
        <v>5</v>
      </c>
    </row>
    <row r="49" spans="1:15" x14ac:dyDescent="0.25">
      <c r="A49" s="659"/>
      <c r="B49" s="665"/>
      <c r="C49" s="50" t="s">
        <v>55</v>
      </c>
      <c r="D49" s="58">
        <v>20</v>
      </c>
      <c r="E49" s="39">
        <f>$D49+$D49*Quantitative_assumption_rates!E49</f>
        <v>10</v>
      </c>
      <c r="F49" s="39">
        <f>$D49+$D49*Quantitative_assumption_rates!F49</f>
        <v>20</v>
      </c>
      <c r="G49" s="39">
        <f>$D49+$D49*Quantitative_assumption_rates!G49</f>
        <v>30</v>
      </c>
      <c r="H49" s="39">
        <f>$D49+$D49*Quantitative_assumption_rates!H49</f>
        <v>10</v>
      </c>
      <c r="I49" s="39">
        <f t="shared" si="0"/>
        <v>10</v>
      </c>
      <c r="J49" s="39">
        <f>$D49+$D49*Quantitative_assumption_rates!J49</f>
        <v>10</v>
      </c>
      <c r="K49" s="39">
        <f>$D49+$D49*Quantitative_assumption_rates!K49</f>
        <v>20</v>
      </c>
      <c r="L49" s="39">
        <f>$D49+$D49*Quantitative_assumption_rates!L49</f>
        <v>20</v>
      </c>
      <c r="M49" s="39">
        <f>$D49+$D49*Quantitative_assumption_rates!M49</f>
        <v>30</v>
      </c>
      <c r="N49" s="39">
        <f>$D49+$D49*Quantitative_assumption_rates!N49</f>
        <v>10</v>
      </c>
      <c r="O49" s="39">
        <f>$D49+$D49*Quantitative_assumption_rates!O49</f>
        <v>10</v>
      </c>
    </row>
    <row r="50" spans="1:15" x14ac:dyDescent="0.25">
      <c r="A50" s="659"/>
      <c r="B50" s="665"/>
      <c r="C50" s="50" t="s">
        <v>61</v>
      </c>
      <c r="D50" s="58">
        <v>30000000</v>
      </c>
      <c r="E50" s="39">
        <f>$D50+$D50*Quantitative_assumption_rates!E50</f>
        <v>45000000</v>
      </c>
      <c r="F50" s="39">
        <f>$D50+$D50*Quantitative_assumption_rates!F50</f>
        <v>30000000</v>
      </c>
      <c r="G50" s="39">
        <f>$D50+$D50*Quantitative_assumption_rates!G50</f>
        <v>15000000</v>
      </c>
      <c r="H50" s="39">
        <f>$D50+$D50*Quantitative_assumption_rates!H50</f>
        <v>45000000</v>
      </c>
      <c r="I50" s="39">
        <f t="shared" si="0"/>
        <v>30000000</v>
      </c>
      <c r="J50" s="39">
        <f>$D50+$D50*Quantitative_assumption_rates!J50</f>
        <v>15000000</v>
      </c>
      <c r="K50" s="39">
        <f>$D50+$D50*Quantitative_assumption_rates!K50</f>
        <v>30000000</v>
      </c>
      <c r="L50" s="39">
        <f>$D50+$D50*Quantitative_assumption_rates!L50</f>
        <v>30000000</v>
      </c>
      <c r="M50" s="39">
        <f>$D50+$D50*Quantitative_assumption_rates!M50</f>
        <v>45000000</v>
      </c>
      <c r="N50" s="39">
        <f>$D50+$D50*Quantitative_assumption_rates!N50</f>
        <v>15000000</v>
      </c>
      <c r="O50" s="39">
        <f>$D50+$D50*Quantitative_assumption_rates!O50</f>
        <v>15000000</v>
      </c>
    </row>
    <row r="51" spans="1:15" ht="28.5" customHeight="1" x14ac:dyDescent="0.25">
      <c r="A51" s="659"/>
      <c r="B51" s="665" t="s">
        <v>285</v>
      </c>
      <c r="C51" s="50" t="s">
        <v>127</v>
      </c>
      <c r="D51" s="58">
        <v>7500000000</v>
      </c>
      <c r="E51" s="39">
        <f>$D51+$D51*Quantitative_assumption_rates!E51</f>
        <v>3750000000</v>
      </c>
      <c r="F51" s="502">
        <f>$D51+$D51*Quantitative_assumption_rates!F51</f>
        <v>7500000000</v>
      </c>
      <c r="G51" s="502">
        <f>$D51+$D51*Quantitative_assumption_rates!G51</f>
        <v>11250000000</v>
      </c>
      <c r="H51" s="39">
        <f>$D51+$D51*Quantitative_assumption_rates!H51</f>
        <v>7500000000</v>
      </c>
      <c r="I51" s="39">
        <f t="shared" si="0"/>
        <v>9375000000</v>
      </c>
      <c r="J51" s="502">
        <f>$D51+$D51*Quantitative_assumption_rates!J51</f>
        <v>11250000000</v>
      </c>
      <c r="K51" s="39">
        <f>$D51+$D51*Quantitative_assumption_rates!K51</f>
        <v>11250000000</v>
      </c>
      <c r="L51" s="502">
        <f>$D51+$D51*Quantitative_assumption_rates!L51</f>
        <v>11250000000</v>
      </c>
      <c r="M51" s="502">
        <f>$D51+$D51*Quantitative_assumption_rates!M51</f>
        <v>11250000000</v>
      </c>
      <c r="N51" s="39">
        <f>$D51+$D51*Quantitative_assumption_rates!N51</f>
        <v>3750000000</v>
      </c>
      <c r="O51" s="39">
        <f>$D51+$D51*Quantitative_assumption_rates!O51</f>
        <v>3750000000</v>
      </c>
    </row>
    <row r="52" spans="1:15" s="308" customFormat="1" x14ac:dyDescent="0.25">
      <c r="A52" s="659"/>
      <c r="B52" s="665"/>
      <c r="C52" s="50" t="s">
        <v>1061</v>
      </c>
      <c r="D52" s="59">
        <v>0</v>
      </c>
      <c r="E52" s="66">
        <v>1</v>
      </c>
      <c r="F52" s="66">
        <v>0</v>
      </c>
      <c r="G52" s="66">
        <v>0</v>
      </c>
      <c r="H52" s="66">
        <v>1</v>
      </c>
      <c r="I52" s="66">
        <v>1</v>
      </c>
      <c r="J52" s="66">
        <v>0</v>
      </c>
      <c r="K52" s="66">
        <v>1</v>
      </c>
      <c r="L52" s="66">
        <v>0</v>
      </c>
      <c r="M52" s="66">
        <v>0</v>
      </c>
      <c r="N52" s="66">
        <v>1</v>
      </c>
      <c r="O52" s="66">
        <v>1</v>
      </c>
    </row>
    <row r="53" spans="1:15" s="46" customFormat="1" x14ac:dyDescent="0.25">
      <c r="A53" s="659" t="s">
        <v>135</v>
      </c>
      <c r="B53" s="87"/>
      <c r="C53" s="31" t="s">
        <v>185</v>
      </c>
      <c r="D53" s="31"/>
      <c r="E53" s="63"/>
      <c r="F53" s="31"/>
      <c r="G53" s="315"/>
      <c r="H53" s="57"/>
      <c r="I53" s="63"/>
      <c r="J53" s="63"/>
      <c r="K53" s="31"/>
      <c r="L53" s="477"/>
      <c r="M53" s="477"/>
      <c r="N53" s="477"/>
      <c r="O53" s="477"/>
    </row>
    <row r="54" spans="1:15" s="46" customFormat="1" x14ac:dyDescent="0.25">
      <c r="A54" s="659"/>
      <c r="B54" s="665" t="s">
        <v>288</v>
      </c>
      <c r="C54" s="52" t="s">
        <v>88</v>
      </c>
      <c r="D54" s="58">
        <v>0.95</v>
      </c>
      <c r="E54" s="39">
        <f>$D54+$D54*Quantitative_assumption_rates!E54</f>
        <v>0.85499999999999998</v>
      </c>
      <c r="F54" s="39">
        <f>$D54+$D54*Quantitative_assumption_rates!F54</f>
        <v>0.95</v>
      </c>
      <c r="G54" s="39">
        <f>$D54+$D54*Quantitative_assumption_rates!G54</f>
        <v>0.95949999999999991</v>
      </c>
      <c r="H54" s="39">
        <f>$D54+$D54*Quantitative_assumption_rates!H54</f>
        <v>0.85499999999999998</v>
      </c>
      <c r="I54" s="39">
        <f t="shared" si="0"/>
        <v>0.90724999999999989</v>
      </c>
      <c r="J54" s="39">
        <f>$D54+$D54*Quantitative_assumption_rates!J54</f>
        <v>0.95949999999999991</v>
      </c>
      <c r="K54" s="39">
        <f>$D54+$D54*Quantitative_assumption_rates!K54</f>
        <v>0.95949999999999991</v>
      </c>
      <c r="L54" s="39">
        <f>$D54+$D54*Quantitative_assumption_rates!L54</f>
        <v>0.95949999999999991</v>
      </c>
      <c r="M54" s="39">
        <f>$D54+$D54*Quantitative_assumption_rates!M54</f>
        <v>0.95949999999999991</v>
      </c>
      <c r="N54" s="39">
        <f>$D54+$D54*Quantitative_assumption_rates!N54</f>
        <v>0.85499999999999998</v>
      </c>
      <c r="O54" s="39">
        <f>$D54+$D54*Quantitative_assumption_rates!O54</f>
        <v>0.85499999999999998</v>
      </c>
    </row>
    <row r="55" spans="1:15" s="46" customFormat="1" x14ac:dyDescent="0.25">
      <c r="A55" s="659"/>
      <c r="B55" s="665"/>
      <c r="C55" s="50" t="s">
        <v>89</v>
      </c>
      <c r="D55" s="58">
        <v>5</v>
      </c>
      <c r="E55" s="39">
        <f>$D55+$D55*Quantitative_assumption_rates!E55</f>
        <v>5.5</v>
      </c>
      <c r="F55" s="39">
        <f>$D55+$D55*Quantitative_assumption_rates!F55</f>
        <v>5</v>
      </c>
      <c r="G55" s="39">
        <f>$D55+$D55*Quantitative_assumption_rates!G55</f>
        <v>4.5</v>
      </c>
      <c r="H55" s="39">
        <f>$D55+$D55*Quantitative_assumption_rates!H55</f>
        <v>5.5</v>
      </c>
      <c r="I55" s="39">
        <f t="shared" si="0"/>
        <v>5</v>
      </c>
      <c r="J55" s="39">
        <f>$D55+$D55*Quantitative_assumption_rates!J55</f>
        <v>4.5</v>
      </c>
      <c r="K55" s="39">
        <f>$D55+$D55*Quantitative_assumption_rates!K55</f>
        <v>4.5</v>
      </c>
      <c r="L55" s="39">
        <f>$D55+$D55*Quantitative_assumption_rates!L55</f>
        <v>4.5</v>
      </c>
      <c r="M55" s="39">
        <f>$D55+$D55*Quantitative_assumption_rates!M55</f>
        <v>4.5</v>
      </c>
      <c r="N55" s="39">
        <f>$D55+$D55*Quantitative_assumption_rates!N55</f>
        <v>5.5</v>
      </c>
      <c r="O55" s="39">
        <f>$D55+$D55*Quantitative_assumption_rates!O55</f>
        <v>5.5</v>
      </c>
    </row>
    <row r="56" spans="1:15" x14ac:dyDescent="0.25">
      <c r="A56" s="659"/>
      <c r="B56" s="87"/>
      <c r="C56" s="31" t="s">
        <v>184</v>
      </c>
      <c r="D56" s="31"/>
      <c r="E56" s="63"/>
      <c r="F56" s="31"/>
      <c r="G56" s="31"/>
      <c r="H56" s="57"/>
      <c r="I56" s="63"/>
      <c r="J56" s="57"/>
      <c r="K56" s="31"/>
      <c r="L56" s="477"/>
      <c r="M56" s="477"/>
      <c r="N56" s="477"/>
      <c r="O56" s="477"/>
    </row>
    <row r="57" spans="1:15" x14ac:dyDescent="0.25">
      <c r="A57" s="659"/>
      <c r="B57" s="665" t="s">
        <v>289</v>
      </c>
      <c r="C57" s="53" t="s">
        <v>109</v>
      </c>
      <c r="D57" s="58">
        <v>7.0000000000000007E-2</v>
      </c>
      <c r="E57" s="39">
        <f>$D57+$D57*Quantitative_assumption_rates!E57</f>
        <v>0.10500000000000001</v>
      </c>
      <c r="F57" s="39">
        <f>$D57+$D57*Quantitative_assumption_rates!F57</f>
        <v>7.0000000000000007E-2</v>
      </c>
      <c r="G57" s="39">
        <f>$D57+$D57*Quantitative_assumption_rates!G57</f>
        <v>3.5000000000000003E-2</v>
      </c>
      <c r="H57" s="39">
        <f>$D57+$D57*Quantitative_assumption_rates!H57</f>
        <v>0.10500000000000001</v>
      </c>
      <c r="I57" s="39">
        <f t="shared" si="0"/>
        <v>7.0000000000000007E-2</v>
      </c>
      <c r="J57" s="39">
        <f>$D57+$D57*Quantitative_assumption_rates!J57</f>
        <v>3.5000000000000003E-2</v>
      </c>
      <c r="K57" s="39">
        <f>$D57+$D57*Quantitative_assumption_rates!K57</f>
        <v>0.10500000000000001</v>
      </c>
      <c r="L57" s="39">
        <f>$D57+$D57*Quantitative_assumption_rates!L57</f>
        <v>3.5000000000000003E-2</v>
      </c>
      <c r="M57" s="39">
        <f>$D57+$D57*Quantitative_assumption_rates!M57</f>
        <v>3.5000000000000003E-2</v>
      </c>
      <c r="N57" s="39">
        <f>$D57+$D57*Quantitative_assumption_rates!N57</f>
        <v>7.0000000000000007E-2</v>
      </c>
      <c r="O57" s="39">
        <f>$D57+$D57*Quantitative_assumption_rates!O57</f>
        <v>0.10500000000000001</v>
      </c>
    </row>
    <row r="58" spans="1:15" x14ac:dyDescent="0.25">
      <c r="A58" s="659"/>
      <c r="B58" s="665"/>
      <c r="C58" s="52" t="s">
        <v>107</v>
      </c>
      <c r="D58" s="58">
        <v>0.3</v>
      </c>
      <c r="E58" s="39">
        <f>$D58+$D58*Quantitative_assumption_rates!E58</f>
        <v>0.44999999999999996</v>
      </c>
      <c r="F58" s="39">
        <f>$D58+$D58*Quantitative_assumption_rates!F58</f>
        <v>0.3</v>
      </c>
      <c r="G58" s="39">
        <f>$D58+$D58*Quantitative_assumption_rates!G58</f>
        <v>0.15</v>
      </c>
      <c r="H58" s="39">
        <f>$D58+$D58*Quantitative_assumption_rates!H58</f>
        <v>0.44999999999999996</v>
      </c>
      <c r="I58" s="39">
        <f t="shared" si="0"/>
        <v>0.3</v>
      </c>
      <c r="J58" s="39">
        <f>$D58+$D58*Quantitative_assumption_rates!J58</f>
        <v>0.15</v>
      </c>
      <c r="K58" s="39">
        <f>$D58+$D58*Quantitative_assumption_rates!K58</f>
        <v>0.44999999999999996</v>
      </c>
      <c r="L58" s="39">
        <f>$D58+$D58*Quantitative_assumption_rates!L58</f>
        <v>0.15</v>
      </c>
      <c r="M58" s="39">
        <f>$D58+$D58*Quantitative_assumption_rates!M58</f>
        <v>0.15</v>
      </c>
      <c r="N58" s="39">
        <f>$D58+$D58*Quantitative_assumption_rates!N58</f>
        <v>0.3</v>
      </c>
      <c r="O58" s="39">
        <f>$D58+$D58*Quantitative_assumption_rates!O58</f>
        <v>0.44999999999999996</v>
      </c>
    </row>
    <row r="59" spans="1:15" x14ac:dyDescent="0.25">
      <c r="A59" s="665" t="s">
        <v>290</v>
      </c>
      <c r="B59" s="86"/>
      <c r="C59" s="31" t="s">
        <v>239</v>
      </c>
      <c r="D59" s="31"/>
      <c r="E59" s="63"/>
      <c r="F59" s="31"/>
      <c r="G59" s="31"/>
      <c r="H59" s="57"/>
      <c r="I59" s="63"/>
      <c r="J59" s="57"/>
      <c r="K59" s="31"/>
      <c r="L59" s="477"/>
      <c r="M59" s="477"/>
      <c r="N59" s="477"/>
      <c r="O59" s="477"/>
    </row>
    <row r="60" spans="1:15" x14ac:dyDescent="0.25">
      <c r="A60" s="665"/>
      <c r="B60" s="665" t="s">
        <v>286</v>
      </c>
      <c r="C60" s="53" t="s">
        <v>115</v>
      </c>
      <c r="D60" s="58">
        <v>1</v>
      </c>
      <c r="E60" s="39">
        <f>$D60+$D60*Quantitative_assumption_rates!E60</f>
        <v>0.9</v>
      </c>
      <c r="F60" s="39">
        <f>$D60+$D60*Quantitative_assumption_rates!F60</f>
        <v>1</v>
      </c>
      <c r="G60" s="39">
        <f>$D60+$D60*Quantitative_assumption_rates!G60</f>
        <v>1.1000000000000001</v>
      </c>
      <c r="H60" s="39">
        <f>$D60+$D60*Quantitative_assumption_rates!H60</f>
        <v>1</v>
      </c>
      <c r="I60" s="39">
        <f t="shared" si="0"/>
        <v>1</v>
      </c>
      <c r="J60" s="39">
        <f>$D60+$D60*Quantitative_assumption_rates!J60</f>
        <v>1</v>
      </c>
      <c r="K60" s="39">
        <f>$D60+$D60*Quantitative_assumption_rates!K60</f>
        <v>1.1000000000000001</v>
      </c>
      <c r="L60" s="39">
        <f>$D60+$D60*Quantitative_assumption_rates!L60</f>
        <v>1.1000000000000001</v>
      </c>
      <c r="M60" s="39">
        <f>$D60+$D60*Quantitative_assumption_rates!M60</f>
        <v>1.1000000000000001</v>
      </c>
      <c r="N60" s="39">
        <f>$D60+$D60*Quantitative_assumption_rates!N60</f>
        <v>0.9</v>
      </c>
      <c r="O60" s="39">
        <f>$D60+$D60*Quantitative_assumption_rates!O60</f>
        <v>0.9</v>
      </c>
    </row>
    <row r="61" spans="1:15" x14ac:dyDescent="0.25">
      <c r="A61" s="665"/>
      <c r="B61" s="665"/>
      <c r="C61" s="53" t="s">
        <v>116</v>
      </c>
      <c r="D61" s="58">
        <v>1</v>
      </c>
      <c r="E61" s="39">
        <f>$D61+$D61*Quantitative_assumption_rates!E61</f>
        <v>0.9</v>
      </c>
      <c r="F61" s="39">
        <f>$D61+$D61*Quantitative_assumption_rates!F61</f>
        <v>1</v>
      </c>
      <c r="G61" s="39">
        <f>$D61+$D61*Quantitative_assumption_rates!G61</f>
        <v>1.1000000000000001</v>
      </c>
      <c r="H61" s="39">
        <f>$D61+$D61*Quantitative_assumption_rates!H61</f>
        <v>1</v>
      </c>
      <c r="I61" s="39">
        <f t="shared" si="0"/>
        <v>1</v>
      </c>
      <c r="J61" s="39">
        <f>$D61+$D61*Quantitative_assumption_rates!J61</f>
        <v>1</v>
      </c>
      <c r="K61" s="39">
        <f>$D61+$D61*Quantitative_assumption_rates!K61</f>
        <v>1.1000000000000001</v>
      </c>
      <c r="L61" s="39">
        <f>$D61+$D61*Quantitative_assumption_rates!L61</f>
        <v>1.1000000000000001</v>
      </c>
      <c r="M61" s="39">
        <f>$D61+$D61*Quantitative_assumption_rates!M61</f>
        <v>1.1000000000000001</v>
      </c>
      <c r="N61" s="39">
        <f>$D61+$D61*Quantitative_assumption_rates!N61</f>
        <v>0.9</v>
      </c>
      <c r="O61" s="39">
        <f>$D61+$D61*Quantitative_assumption_rates!O61</f>
        <v>0.9</v>
      </c>
    </row>
    <row r="62" spans="1:15" x14ac:dyDescent="0.25">
      <c r="A62" s="665"/>
      <c r="B62" s="665"/>
      <c r="C62" s="53" t="s">
        <v>120</v>
      </c>
      <c r="D62" s="58">
        <v>1672.6</v>
      </c>
      <c r="E62" s="39">
        <f>$D62+$D62*Quantitative_assumption_rates!E62</f>
        <v>1254.4499999999998</v>
      </c>
      <c r="F62" s="39">
        <f>$D62+$D62*Quantitative_assumption_rates!F62</f>
        <v>1672.6</v>
      </c>
      <c r="G62" s="39">
        <f>$D62+$D62*Quantitative_assumption_rates!G62</f>
        <v>2090.75</v>
      </c>
      <c r="H62" s="39">
        <f>$D62+$D62*Quantitative_assumption_rates!H62</f>
        <v>1672.6</v>
      </c>
      <c r="I62" s="39">
        <f t="shared" si="0"/>
        <v>1672.6</v>
      </c>
      <c r="J62" s="39">
        <f>$D62+$D62*Quantitative_assumption_rates!J62</f>
        <v>1672.6</v>
      </c>
      <c r="K62" s="39">
        <f>$D62+$D62*Quantitative_assumption_rates!K62</f>
        <v>2090.75</v>
      </c>
      <c r="L62" s="39">
        <f>$D62+$D62*Quantitative_assumption_rates!L62</f>
        <v>1254.4499999999998</v>
      </c>
      <c r="M62" s="39">
        <f>$D62+$D62*Quantitative_assumption_rates!M62</f>
        <v>2090.75</v>
      </c>
      <c r="N62" s="39">
        <f>$D62+$D62*Quantitative_assumption_rates!N62</f>
        <v>1254.4499999999998</v>
      </c>
      <c r="O62" s="39">
        <f>$D62+$D62*Quantitative_assumption_rates!O62</f>
        <v>1254.4499999999998</v>
      </c>
    </row>
    <row r="63" spans="1:15" x14ac:dyDescent="0.25">
      <c r="A63" s="665"/>
      <c r="B63" s="665" t="s">
        <v>287</v>
      </c>
      <c r="C63" s="53" t="s">
        <v>117</v>
      </c>
      <c r="D63" s="58">
        <v>0.01</v>
      </c>
      <c r="E63" s="39">
        <f>$D63+$D63*Quantitative_assumption_rates!E63</f>
        <v>7.4999999999999997E-3</v>
      </c>
      <c r="F63" s="39">
        <f>$D63+$D63*Quantitative_assumption_rates!F63</f>
        <v>0.01</v>
      </c>
      <c r="G63" s="39">
        <f>$D63+$D63*Quantitative_assumption_rates!G63</f>
        <v>1.2500000000000001E-2</v>
      </c>
      <c r="H63" s="39">
        <f>$D63+$D63*Quantitative_assumption_rates!H63</f>
        <v>0.01</v>
      </c>
      <c r="I63" s="39">
        <f t="shared" si="0"/>
        <v>0.01</v>
      </c>
      <c r="J63" s="39">
        <f>$D63+$D63*Quantitative_assumption_rates!J63</f>
        <v>0.01</v>
      </c>
      <c r="K63" s="39">
        <f>$D63+$D63*Quantitative_assumption_rates!K63</f>
        <v>1.2500000000000001E-2</v>
      </c>
      <c r="L63" s="39">
        <f>$D63+$D63*Quantitative_assumption_rates!L63</f>
        <v>0.01</v>
      </c>
      <c r="M63" s="39">
        <f>$D63+$D63*Quantitative_assumption_rates!M63</f>
        <v>1.2500000000000001E-2</v>
      </c>
      <c r="N63" s="39">
        <f>$D63+$D63*Quantitative_assumption_rates!N63</f>
        <v>7.4999999999999997E-3</v>
      </c>
      <c r="O63" s="39">
        <f>$D63+$D63*Quantitative_assumption_rates!O63</f>
        <v>7.4999999999999997E-3</v>
      </c>
    </row>
    <row r="64" spans="1:15" x14ac:dyDescent="0.25">
      <c r="A64" s="665"/>
      <c r="B64" s="665"/>
      <c r="C64" s="50" t="s">
        <v>134</v>
      </c>
      <c r="D64" s="71">
        <v>0</v>
      </c>
      <c r="E64" s="66">
        <v>4</v>
      </c>
      <c r="F64" s="72">
        <v>1</v>
      </c>
      <c r="G64" s="72">
        <v>0</v>
      </c>
      <c r="H64" s="72">
        <v>2</v>
      </c>
      <c r="I64" s="72">
        <v>1</v>
      </c>
      <c r="J64" s="72">
        <v>1</v>
      </c>
      <c r="K64" s="72">
        <v>0</v>
      </c>
      <c r="L64" s="363">
        <v>0</v>
      </c>
      <c r="M64" s="363">
        <v>0</v>
      </c>
      <c r="N64" s="363">
        <v>4</v>
      </c>
      <c r="O64" s="363">
        <v>4</v>
      </c>
    </row>
    <row r="65" spans="1:2" x14ac:dyDescent="0.25">
      <c r="A65" s="36"/>
      <c r="B65" s="36"/>
    </row>
    <row r="66" spans="1:2" x14ac:dyDescent="0.25">
      <c r="A66" s="36"/>
      <c r="B66" s="36"/>
    </row>
    <row r="67" spans="1:2" x14ac:dyDescent="0.25">
      <c r="A67" s="36"/>
      <c r="B67" s="36"/>
    </row>
  </sheetData>
  <mergeCells count="23">
    <mergeCell ref="L1:M1"/>
    <mergeCell ref="N1:O1"/>
    <mergeCell ref="A20:A29"/>
    <mergeCell ref="H1:J1"/>
    <mergeCell ref="A3:A19"/>
    <mergeCell ref="A30:A44"/>
    <mergeCell ref="B4:B6"/>
    <mergeCell ref="B8:B13"/>
    <mergeCell ref="B15:B16"/>
    <mergeCell ref="B18:B19"/>
    <mergeCell ref="B21:B22"/>
    <mergeCell ref="B24:B29"/>
    <mergeCell ref="B40:B44"/>
    <mergeCell ref="B31:B38"/>
    <mergeCell ref="A45:A52"/>
    <mergeCell ref="B54:B55"/>
    <mergeCell ref="B57:B58"/>
    <mergeCell ref="B60:B62"/>
    <mergeCell ref="B63:B64"/>
    <mergeCell ref="A59:A64"/>
    <mergeCell ref="A53:A58"/>
    <mergeCell ref="B46:B50"/>
    <mergeCell ref="B51:B52"/>
  </mergeCells>
  <pageMargins left="0.7" right="0.7" top="0.75" bottom="0.75" header="0.3" footer="0.3"/>
  <pageSetup paperSize="9"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zoomScale="80" zoomScaleNormal="80" workbookViewId="0">
      <pane xSplit="3" ySplit="1" topLeftCell="D2" activePane="bottomRight" state="frozen"/>
      <selection pane="topRight" activeCell="C1" sqref="C1"/>
      <selection pane="bottomLeft" activeCell="A2" sqref="A2"/>
      <selection pane="bottomRight" activeCell="F4" sqref="F4"/>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355" customWidth="1"/>
    <col min="12" max="12" width="25.140625" style="355" customWidth="1"/>
    <col min="13" max="13" width="19.85546875" style="355" customWidth="1"/>
    <col min="14" max="16384" width="9" style="355"/>
  </cols>
  <sheetData>
    <row r="1" spans="1:13" s="558"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359"/>
      <c r="B2" s="359"/>
      <c r="C2" s="555" t="s">
        <v>158</v>
      </c>
      <c r="E2" s="559" t="s">
        <v>153</v>
      </c>
      <c r="F2" s="559" t="s">
        <v>153</v>
      </c>
      <c r="G2" s="559" t="s">
        <v>153</v>
      </c>
      <c r="H2" s="559" t="s">
        <v>153</v>
      </c>
      <c r="I2" s="559" t="s">
        <v>153</v>
      </c>
      <c r="J2" s="559" t="s">
        <v>1438</v>
      </c>
      <c r="K2" s="559" t="s">
        <v>1437</v>
      </c>
      <c r="L2" s="559" t="s">
        <v>1438</v>
      </c>
      <c r="M2" s="559" t="s">
        <v>1437</v>
      </c>
    </row>
    <row r="3" spans="1:13" x14ac:dyDescent="0.25">
      <c r="A3" s="659" t="s">
        <v>142</v>
      </c>
      <c r="B3" s="658" t="s">
        <v>9</v>
      </c>
      <c r="C3" s="533" t="s">
        <v>1498</v>
      </c>
      <c r="D3" s="90"/>
      <c r="E3" s="536">
        <v>0.7646082852410363</v>
      </c>
      <c r="F3" s="536">
        <v>1</v>
      </c>
      <c r="G3" s="536">
        <v>1.4030858717560482</v>
      </c>
      <c r="H3" s="536">
        <v>1.029785920744843</v>
      </c>
      <c r="I3" s="536">
        <v>0.81822734357148763</v>
      </c>
      <c r="J3" s="671"/>
      <c r="K3" s="671"/>
      <c r="L3" s="671"/>
      <c r="M3" s="671"/>
    </row>
    <row r="4" spans="1:13" x14ac:dyDescent="0.25">
      <c r="A4" s="659"/>
      <c r="B4" s="658"/>
      <c r="C4" s="51" t="s">
        <v>7</v>
      </c>
      <c r="D4" s="91">
        <v>0.51500000000000001</v>
      </c>
      <c r="E4" s="39">
        <f>$D4+$D4*SSP_parameters_assumptions!E4</f>
        <v>0.51500000000000001</v>
      </c>
      <c r="F4" s="39">
        <f>$D4+$D4*SSP_parameters_assumptions!F4</f>
        <v>0.51500000000000001</v>
      </c>
      <c r="G4" s="39">
        <f>$D4+$D4*SSP_parameters_assumptions!G4</f>
        <v>0.51500000000000001</v>
      </c>
      <c r="H4" s="39">
        <f>$D4+$D4*SSP_parameters_assumptions!H4</f>
        <v>0.51500000000000001</v>
      </c>
      <c r="I4" s="39">
        <f>$D4+$D4*SSP_parameters_assumptions!I4</f>
        <v>0.51500000000000001</v>
      </c>
      <c r="J4" s="39"/>
      <c r="K4" s="39"/>
      <c r="L4" s="39"/>
      <c r="M4" s="39"/>
    </row>
    <row r="5" spans="1:13" x14ac:dyDescent="0.25">
      <c r="A5" s="659"/>
      <c r="B5" s="658"/>
      <c r="C5" s="91" t="s">
        <v>6</v>
      </c>
      <c r="D5" s="91">
        <v>12</v>
      </c>
      <c r="E5" s="39">
        <f>$D5+$D5*SSP_parameters_assumptions!E5</f>
        <v>12</v>
      </c>
      <c r="F5" s="39">
        <f>$D5+$D5*SSP_parameters_assumptions!F5</f>
        <v>12</v>
      </c>
      <c r="G5" s="39">
        <f>$D5+$D5*SSP_parameters_assumptions!G5</f>
        <v>12</v>
      </c>
      <c r="H5" s="550">
        <v>13</v>
      </c>
      <c r="I5" s="39">
        <f>$D5+$D5*SSP_parameters_assumptions!I5</f>
        <v>12</v>
      </c>
      <c r="J5" s="39"/>
      <c r="K5" s="39"/>
      <c r="L5" s="39"/>
      <c r="M5" s="39"/>
    </row>
    <row r="6" spans="1:13" x14ac:dyDescent="0.25">
      <c r="A6" s="659"/>
      <c r="B6" s="658"/>
      <c r="C6" s="91" t="s">
        <v>5</v>
      </c>
      <c r="D6" s="91">
        <v>28</v>
      </c>
      <c r="E6" s="39">
        <f>$D6+$D6*SSP_parameters_assumptions!E6</f>
        <v>28</v>
      </c>
      <c r="F6" s="39">
        <f>$D6+$D6*SSP_parameters_assumptions!F6</f>
        <v>28</v>
      </c>
      <c r="G6" s="550">
        <v>26</v>
      </c>
      <c r="H6" s="550">
        <v>28</v>
      </c>
      <c r="I6" s="39">
        <f>$D6+$D6*SSP_parameters_assumptions!I6</f>
        <v>28</v>
      </c>
      <c r="J6" s="39"/>
      <c r="K6" s="39"/>
      <c r="L6" s="39"/>
      <c r="M6" s="39"/>
    </row>
    <row r="7" spans="1:13" x14ac:dyDescent="0.25">
      <c r="A7" s="659"/>
      <c r="B7" s="658" t="s">
        <v>141</v>
      </c>
      <c r="C7" s="90" t="s">
        <v>1518</v>
      </c>
      <c r="D7" s="90"/>
      <c r="E7" s="536">
        <v>0.51749002734395078</v>
      </c>
      <c r="F7" s="536">
        <v>1</v>
      </c>
      <c r="G7" s="536">
        <v>4.5943082760197278</v>
      </c>
      <c r="H7" s="536">
        <v>3.1462289980559746</v>
      </c>
      <c r="I7" s="536">
        <v>0.51319261447510423</v>
      </c>
      <c r="J7" s="671"/>
      <c r="K7" s="671"/>
      <c r="L7" s="671"/>
      <c r="M7" s="671"/>
    </row>
    <row r="8" spans="1:13" s="358" customFormat="1" x14ac:dyDescent="0.25">
      <c r="A8" s="659"/>
      <c r="B8" s="658"/>
      <c r="C8" s="365" t="s">
        <v>33</v>
      </c>
      <c r="D8" s="534">
        <v>0</v>
      </c>
      <c r="E8" s="363">
        <v>-8.5000000000000006E-3</v>
      </c>
      <c r="F8" s="363">
        <v>0</v>
      </c>
      <c r="G8" s="363">
        <v>3.5000000000000001E-3</v>
      </c>
      <c r="H8" s="363"/>
      <c r="I8" s="363">
        <v>-8.5000000000000006E-3</v>
      </c>
      <c r="J8" s="39"/>
      <c r="K8" s="39"/>
      <c r="L8" s="39"/>
      <c r="M8" s="39"/>
    </row>
    <row r="9" spans="1:13" s="358" customFormat="1" x14ac:dyDescent="0.25">
      <c r="A9" s="659"/>
      <c r="B9" s="658"/>
      <c r="C9" s="365" t="s">
        <v>34</v>
      </c>
      <c r="D9" s="534">
        <v>0</v>
      </c>
      <c r="E9" s="363">
        <v>-8.5000000000000006E-3</v>
      </c>
      <c r="F9" s="363">
        <v>0</v>
      </c>
      <c r="G9" s="363">
        <v>2.5000000000000001E-3</v>
      </c>
      <c r="H9" s="363"/>
      <c r="I9" s="363">
        <v>-8.5000000000000006E-3</v>
      </c>
      <c r="J9" s="39"/>
      <c r="K9" s="39"/>
      <c r="L9" s="39"/>
      <c r="M9" s="39"/>
    </row>
    <row r="10" spans="1:13" s="358" customFormat="1" x14ac:dyDescent="0.25">
      <c r="A10" s="659"/>
      <c r="B10" s="658"/>
      <c r="C10" s="92" t="s">
        <v>1519</v>
      </c>
      <c r="D10" s="92"/>
      <c r="E10" s="536">
        <v>0.58805185729009313</v>
      </c>
      <c r="F10" s="536">
        <v>1</v>
      </c>
      <c r="G10" s="536">
        <v>1.0952830559718276</v>
      </c>
      <c r="H10" s="536">
        <v>0.58619981121534159</v>
      </c>
      <c r="I10" s="536">
        <v>0.6123263675290388</v>
      </c>
      <c r="J10" s="63"/>
      <c r="K10" s="63"/>
      <c r="L10" s="63"/>
      <c r="M10" s="63"/>
    </row>
    <row r="11" spans="1:13" s="358" customFormat="1" x14ac:dyDescent="0.25">
      <c r="A11" s="659"/>
      <c r="B11" s="658"/>
      <c r="C11" s="365" t="s">
        <v>35</v>
      </c>
      <c r="D11" s="534">
        <v>0.01</v>
      </c>
      <c r="E11" s="363">
        <v>0.01</v>
      </c>
      <c r="F11" s="534">
        <v>0.01</v>
      </c>
      <c r="G11" s="363">
        <v>-4.0000000000000001E-3</v>
      </c>
      <c r="H11" s="363"/>
      <c r="I11" s="363">
        <v>0.01</v>
      </c>
      <c r="J11" s="39"/>
      <c r="K11" s="39"/>
      <c r="L11" s="39"/>
      <c r="M11" s="39"/>
    </row>
    <row r="12" spans="1:13" x14ac:dyDescent="0.25">
      <c r="A12" s="659"/>
      <c r="B12" s="658"/>
      <c r="C12" s="365" t="s">
        <v>36</v>
      </c>
      <c r="D12" s="534">
        <v>5.0000000000000001E-3</v>
      </c>
      <c r="E12" s="363">
        <v>5.0000000000000001E-3</v>
      </c>
      <c r="F12" s="534">
        <v>5.0000000000000001E-3</v>
      </c>
      <c r="G12" s="363">
        <v>-5.0000000000000001E-3</v>
      </c>
      <c r="H12" s="363"/>
      <c r="I12" s="363">
        <v>5.0000000000000001E-3</v>
      </c>
      <c r="J12" s="39"/>
      <c r="K12" s="39"/>
      <c r="L12" s="39"/>
      <c r="M12" s="39"/>
    </row>
    <row r="13" spans="1:13" x14ac:dyDescent="0.25">
      <c r="A13" s="659"/>
      <c r="B13" s="658"/>
      <c r="C13" s="92" t="s">
        <v>1520</v>
      </c>
      <c r="D13" s="92"/>
      <c r="E13" s="536">
        <v>1.1602782711436583</v>
      </c>
      <c r="F13" s="536">
        <v>1</v>
      </c>
      <c r="G13" s="536">
        <v>0.37486174033908626</v>
      </c>
      <c r="H13" s="536">
        <v>0.50661760286838453</v>
      </c>
      <c r="I13" s="536">
        <v>1.2396188572751115</v>
      </c>
      <c r="J13" s="63"/>
      <c r="K13" s="63"/>
      <c r="L13" s="63"/>
      <c r="M13" s="63"/>
    </row>
    <row r="14" spans="1:13" x14ac:dyDescent="0.25">
      <c r="A14" s="659"/>
      <c r="B14" s="658"/>
      <c r="C14" s="365" t="s">
        <v>37</v>
      </c>
      <c r="D14" s="534">
        <v>0</v>
      </c>
      <c r="E14" s="363">
        <v>4.5500000000000002E-3</v>
      </c>
      <c r="F14" s="363">
        <v>0</v>
      </c>
      <c r="G14" s="363">
        <v>-1E-3</v>
      </c>
      <c r="H14" s="363"/>
      <c r="I14" s="363">
        <v>4.5500000000000002E-3</v>
      </c>
      <c r="J14" s="39"/>
      <c r="K14" s="39"/>
      <c r="L14" s="39"/>
      <c r="M14" s="39"/>
    </row>
    <row r="15" spans="1:13" x14ac:dyDescent="0.25">
      <c r="A15" s="659"/>
      <c r="B15" s="658"/>
      <c r="C15" s="365" t="s">
        <v>38</v>
      </c>
      <c r="D15" s="534">
        <v>0</v>
      </c>
      <c r="E15" s="363">
        <v>5.4999999999999997E-3</v>
      </c>
      <c r="F15" s="363">
        <v>0</v>
      </c>
      <c r="G15" s="363">
        <v>-5.0000000000000001E-4</v>
      </c>
      <c r="H15" s="363"/>
      <c r="I15" s="363">
        <v>5.4999999999999997E-3</v>
      </c>
      <c r="J15" s="39"/>
      <c r="K15" s="39"/>
      <c r="L15" s="39"/>
      <c r="M15" s="39"/>
    </row>
    <row r="16" spans="1:13" x14ac:dyDescent="0.25">
      <c r="A16" s="659"/>
      <c r="B16" s="658" t="s">
        <v>10</v>
      </c>
      <c r="C16" s="90" t="s">
        <v>1499</v>
      </c>
      <c r="D16" s="90"/>
      <c r="E16" s="536">
        <v>1.3063596491228069</v>
      </c>
      <c r="F16" s="536">
        <v>1</v>
      </c>
      <c r="G16" s="536">
        <v>0.46271929824561403</v>
      </c>
      <c r="H16" s="536">
        <v>0.55679824561403513</v>
      </c>
      <c r="I16" s="536">
        <v>2.1890350877192981</v>
      </c>
      <c r="J16" s="671"/>
      <c r="K16" s="671"/>
      <c r="L16" s="671"/>
      <c r="M16" s="671"/>
    </row>
    <row r="17" spans="1:13" s="358" customFormat="1" x14ac:dyDescent="0.25">
      <c r="A17" s="659"/>
      <c r="B17" s="658"/>
      <c r="C17" s="91" t="s">
        <v>39</v>
      </c>
      <c r="D17" s="91">
        <v>0.42499999999999999</v>
      </c>
      <c r="E17" s="39">
        <f>$D17+$D17*SSP_parameters_assumptions!E19</f>
        <v>0.42499999999999999</v>
      </c>
      <c r="F17" s="39">
        <f>$D17+$D17*SSP_parameters_assumptions!F19</f>
        <v>0.42499999999999999</v>
      </c>
      <c r="G17" s="39">
        <v>0.31879999999999997</v>
      </c>
      <c r="H17" s="39">
        <f>$D17+$D17*SSP_parameters_assumptions!H19</f>
        <v>0.42499999999999999</v>
      </c>
      <c r="I17" s="550">
        <v>0.53200000000000003</v>
      </c>
      <c r="J17" s="535"/>
      <c r="K17" s="39"/>
      <c r="L17" s="39"/>
      <c r="M17" s="39"/>
    </row>
    <row r="18" spans="1:13" s="358" customFormat="1" x14ac:dyDescent="0.25">
      <c r="A18" s="659"/>
      <c r="B18" s="658"/>
      <c r="C18" s="91" t="s">
        <v>40</v>
      </c>
      <c r="D18" s="91">
        <v>0.75</v>
      </c>
      <c r="E18" s="39">
        <f>$D18+$D18*SSP_parameters_assumptions!E20</f>
        <v>0.75</v>
      </c>
      <c r="F18" s="39">
        <f>$D18+$D18*SSP_parameters_assumptions!F20</f>
        <v>0.75</v>
      </c>
      <c r="G18" s="39">
        <v>0.55000000000000004</v>
      </c>
      <c r="H18" s="39">
        <f>$D18+$D18*SSP_parameters_assumptions!H20</f>
        <v>0.75</v>
      </c>
      <c r="I18" s="39">
        <f>$D18+$D18*SSP_parameters_assumptions!I20</f>
        <v>0.75</v>
      </c>
      <c r="J18" s="39"/>
      <c r="K18" s="39"/>
      <c r="L18" s="39"/>
      <c r="M18" s="39"/>
    </row>
    <row r="19" spans="1:13" s="358" customFormat="1" x14ac:dyDescent="0.25">
      <c r="A19" s="659"/>
      <c r="B19" s="658" t="s">
        <v>170</v>
      </c>
      <c r="C19" s="90" t="s">
        <v>1500</v>
      </c>
      <c r="D19" s="90"/>
      <c r="E19" s="536">
        <v>0.96521594407922107</v>
      </c>
      <c r="F19" s="536">
        <v>1</v>
      </c>
      <c r="G19" s="536">
        <v>0.93367729050511772</v>
      </c>
      <c r="H19" s="536">
        <v>1.0158109345094448</v>
      </c>
      <c r="I19" s="536">
        <v>1.1427144878089373</v>
      </c>
      <c r="J19" s="671"/>
      <c r="K19" s="671"/>
      <c r="L19" s="671"/>
      <c r="M19" s="671"/>
    </row>
    <row r="20" spans="1:13" s="358" customFormat="1" x14ac:dyDescent="0.25">
      <c r="A20" s="659"/>
      <c r="B20" s="658"/>
      <c r="C20" s="89" t="s">
        <v>97</v>
      </c>
      <c r="D20" s="89">
        <v>1.25</v>
      </c>
      <c r="E20" s="39">
        <f>$D20+$D20*SSP_parameters_assumptions!E22</f>
        <v>1.125</v>
      </c>
      <c r="F20" s="39">
        <f>$D20+$D20*SSP_parameters_assumptions!F22</f>
        <v>1.25</v>
      </c>
      <c r="G20" s="39">
        <f>$D20+$D20*SSP_parameters_assumptions!G22</f>
        <v>0.9375</v>
      </c>
      <c r="H20" s="39">
        <f>$D20+$D20*SSP_parameters_assumptions!H22</f>
        <v>1.3125</v>
      </c>
      <c r="I20" s="39">
        <f>$D20+$D20*SSP_parameters_assumptions!I22</f>
        <v>1.875</v>
      </c>
      <c r="J20" s="39"/>
      <c r="K20" s="39"/>
      <c r="L20" s="39"/>
      <c r="M20" s="39"/>
    </row>
    <row r="21" spans="1:13" x14ac:dyDescent="0.25">
      <c r="A21" s="659"/>
      <c r="B21" s="658"/>
      <c r="C21" s="50" t="s">
        <v>98</v>
      </c>
      <c r="D21" s="89">
        <v>5</v>
      </c>
      <c r="E21" s="39">
        <f>$D21+$D21*SSP_parameters_assumptions!E23</f>
        <v>5.5</v>
      </c>
      <c r="F21" s="39">
        <f>$D21+$D21*SSP_parameters_assumptions!F23</f>
        <v>5</v>
      </c>
      <c r="G21" s="39">
        <f>$D21+$D21*SSP_parameters_assumptions!G23</f>
        <v>6.25</v>
      </c>
      <c r="H21" s="39">
        <f>$D21+$D21*SSP_parameters_assumptions!H23</f>
        <v>4.75</v>
      </c>
      <c r="I21" s="39">
        <f>$D21+$D21*SSP_parameters_assumptions!I23</f>
        <v>2.5</v>
      </c>
      <c r="J21" s="39"/>
      <c r="K21" s="39"/>
      <c r="L21" s="39"/>
      <c r="M21" s="39"/>
    </row>
    <row r="22" spans="1:13" x14ac:dyDescent="0.25">
      <c r="A22" s="659"/>
      <c r="B22" s="660"/>
      <c r="C22" s="48" t="s">
        <v>1501</v>
      </c>
      <c r="D22" s="92"/>
      <c r="E22" s="536">
        <v>0.51129549001889429</v>
      </c>
      <c r="F22" s="536">
        <v>1</v>
      </c>
      <c r="G22" s="536">
        <v>0.79990552862893283</v>
      </c>
      <c r="H22" s="536">
        <v>0.72495481803992445</v>
      </c>
      <c r="I22" s="536">
        <v>1.2235685533557874</v>
      </c>
      <c r="J22" s="671"/>
      <c r="K22" s="671"/>
      <c r="L22" s="671"/>
      <c r="M22" s="671"/>
    </row>
    <row r="23" spans="1:13" x14ac:dyDescent="0.25">
      <c r="A23" s="659"/>
      <c r="B23" s="660"/>
      <c r="C23" s="48" t="s">
        <v>1502</v>
      </c>
      <c r="D23" s="92"/>
      <c r="E23" s="536">
        <v>0.18160811761160039</v>
      </c>
      <c r="F23" s="536">
        <v>1</v>
      </c>
      <c r="G23" s="536">
        <v>0.68597836643113086</v>
      </c>
      <c r="H23" s="536">
        <v>0.67760624225578514</v>
      </c>
      <c r="I23" s="536">
        <v>0.65570476541308065</v>
      </c>
      <c r="J23" s="557"/>
      <c r="K23" s="557"/>
      <c r="L23" s="557"/>
      <c r="M23" s="557"/>
    </row>
    <row r="24" spans="1:13" x14ac:dyDescent="0.25">
      <c r="A24" s="659"/>
      <c r="B24" s="660"/>
      <c r="C24" s="48" t="s">
        <v>1503</v>
      </c>
      <c r="D24" s="92"/>
      <c r="E24" s="536">
        <v>0.62563718572703975</v>
      </c>
      <c r="F24" s="536">
        <v>1</v>
      </c>
      <c r="G24" s="536">
        <v>0.73760907755666272</v>
      </c>
      <c r="H24" s="536">
        <v>0.60559283472050218</v>
      </c>
      <c r="I24" s="536">
        <v>1.2858911960372088</v>
      </c>
      <c r="J24" s="557"/>
      <c r="K24" s="557"/>
      <c r="L24" s="557"/>
      <c r="M24" s="557"/>
    </row>
    <row r="25" spans="1:13" x14ac:dyDescent="0.25">
      <c r="A25" s="659"/>
      <c r="B25" s="660"/>
      <c r="C25" s="48" t="s">
        <v>1504</v>
      </c>
      <c r="D25" s="92"/>
      <c r="E25" s="536">
        <v>0.32186916928903619</v>
      </c>
      <c r="F25" s="536">
        <v>1</v>
      </c>
      <c r="G25" s="536">
        <v>1.5116544598847088</v>
      </c>
      <c r="H25" s="536">
        <v>0.6076192597955945</v>
      </c>
      <c r="I25" s="536">
        <v>2.4734746163914343</v>
      </c>
      <c r="J25" s="557"/>
      <c r="K25" s="557"/>
      <c r="L25" s="557"/>
      <c r="M25" s="557"/>
    </row>
    <row r="26" spans="1:13" x14ac:dyDescent="0.25">
      <c r="A26" s="659"/>
      <c r="B26" s="660"/>
      <c r="C26" s="48" t="s">
        <v>1505</v>
      </c>
      <c r="D26" s="92"/>
      <c r="E26" s="536">
        <v>1.4927169094363519</v>
      </c>
      <c r="F26" s="536">
        <v>1</v>
      </c>
      <c r="G26" s="536">
        <v>3.090563647878404E-2</v>
      </c>
      <c r="H26" s="536">
        <v>0.60037998733375553</v>
      </c>
      <c r="I26" s="536">
        <v>1.024572514249525</v>
      </c>
      <c r="J26" s="557"/>
      <c r="K26" s="557"/>
      <c r="L26" s="557"/>
      <c r="M26" s="557"/>
    </row>
    <row r="27" spans="1:13" x14ac:dyDescent="0.25">
      <c r="A27" s="659"/>
      <c r="B27" s="660"/>
      <c r="C27" s="48" t="s">
        <v>1506</v>
      </c>
      <c r="D27" s="92"/>
      <c r="E27" s="536">
        <v>0.37628682996095136</v>
      </c>
      <c r="F27" s="536">
        <v>1</v>
      </c>
      <c r="G27" s="536">
        <v>5.5496390959649748E-2</v>
      </c>
      <c r="H27" s="536">
        <v>0.30753756951840017</v>
      </c>
      <c r="I27" s="536">
        <v>0.73636256064371075</v>
      </c>
      <c r="J27" s="557"/>
      <c r="K27" s="557"/>
      <c r="L27" s="557"/>
      <c r="M27" s="557"/>
    </row>
    <row r="28" spans="1:13" x14ac:dyDescent="0.25">
      <c r="A28" s="659"/>
      <c r="B28" s="660"/>
      <c r="C28" s="48" t="s">
        <v>1507</v>
      </c>
      <c r="D28" s="92"/>
      <c r="E28" s="536">
        <v>2.0918367346938775</v>
      </c>
      <c r="F28" s="536">
        <v>1</v>
      </c>
      <c r="G28" s="536">
        <v>2.5615290892476397</v>
      </c>
      <c r="H28" s="536">
        <v>1.6873286628084072</v>
      </c>
      <c r="I28" s="536">
        <v>1.1407249466950962</v>
      </c>
      <c r="J28" s="557"/>
      <c r="K28" s="557"/>
      <c r="L28" s="557"/>
      <c r="M28" s="557"/>
    </row>
    <row r="29" spans="1:13" x14ac:dyDescent="0.25">
      <c r="A29" s="659" t="s">
        <v>144</v>
      </c>
      <c r="B29" s="658" t="s">
        <v>393</v>
      </c>
      <c r="C29" s="89" t="s">
        <v>44</v>
      </c>
      <c r="D29" s="89">
        <v>1.9999999999999999E-6</v>
      </c>
      <c r="E29" s="39">
        <f>$D29+$D29*SSP_parameters_assumptions!E31</f>
        <v>1.3999999999999999E-6</v>
      </c>
      <c r="F29" s="39">
        <f>$D29+$D29*SSP_parameters_assumptions!F31</f>
        <v>1.9999999999999999E-6</v>
      </c>
      <c r="G29" s="39">
        <f>$D29+$D29*SSP_parameters_assumptions!G31</f>
        <v>1.9E-6</v>
      </c>
      <c r="H29" s="39">
        <f>$D29+$D29*SSP_parameters_assumptions!H31</f>
        <v>1.84E-6</v>
      </c>
      <c r="I29" s="551">
        <v>3.1999999999999999E-6</v>
      </c>
      <c r="J29" s="38"/>
      <c r="K29" s="38"/>
      <c r="L29" s="38"/>
      <c r="M29" s="38"/>
    </row>
    <row r="30" spans="1:13" x14ac:dyDescent="0.25">
      <c r="A30" s="659"/>
      <c r="B30" s="658"/>
      <c r="C30" s="91" t="s">
        <v>45</v>
      </c>
      <c r="D30" s="91">
        <v>0.6</v>
      </c>
      <c r="E30" s="39">
        <f>$D30+$D30*SSP_parameters_assumptions!E32</f>
        <v>0.44999999999999996</v>
      </c>
      <c r="F30" s="39">
        <f>$D30+$D30*SSP_parameters_assumptions!F32</f>
        <v>0.6</v>
      </c>
      <c r="G30" s="550">
        <v>1</v>
      </c>
      <c r="H30" s="39">
        <f>$D30+$D30*SSP_parameters_assumptions!H32</f>
        <v>0.78</v>
      </c>
      <c r="I30" s="39">
        <f>$D30+$D30*SSP_parameters_assumptions!I32</f>
        <v>0.63</v>
      </c>
      <c r="J30" s="38"/>
      <c r="K30" s="38"/>
      <c r="L30" s="38"/>
      <c r="M30" s="38"/>
    </row>
    <row r="31" spans="1:13" x14ac:dyDescent="0.25">
      <c r="A31" s="659"/>
      <c r="B31" s="658"/>
      <c r="C31" s="91" t="s">
        <v>46</v>
      </c>
      <c r="D31" s="91">
        <v>0.54</v>
      </c>
      <c r="E31" s="39">
        <f>$D31+$D31*SSP_parameters_assumptions!E33</f>
        <v>0.94500000000000006</v>
      </c>
      <c r="F31" s="39">
        <f>$D31+$D31*SSP_parameters_assumptions!F33</f>
        <v>0.54</v>
      </c>
      <c r="G31" s="550">
        <v>0.63749999999999996</v>
      </c>
      <c r="H31" s="39">
        <f>$D31+$D31*SSP_parameters_assumptions!H33</f>
        <v>0.70200000000000007</v>
      </c>
      <c r="I31" s="39">
        <f>$D31+$D31*SSP_parameters_assumptions!I33</f>
        <v>0.64800000000000002</v>
      </c>
      <c r="J31" s="38"/>
      <c r="K31" s="38"/>
      <c r="L31" s="38"/>
      <c r="M31" s="38"/>
    </row>
    <row r="32" spans="1:13" x14ac:dyDescent="0.25">
      <c r="A32" s="659"/>
      <c r="B32" s="658"/>
      <c r="C32" s="91" t="s">
        <v>47</v>
      </c>
      <c r="D32" s="91">
        <v>0.89</v>
      </c>
      <c r="E32" s="39">
        <f>$D32+$D32*SSP_parameters_assumptions!E34</f>
        <v>0.80100000000000005</v>
      </c>
      <c r="F32" s="39">
        <f>$D32+$D32*SSP_parameters_assumptions!F34</f>
        <v>0.89</v>
      </c>
      <c r="G32" s="550">
        <v>1.25</v>
      </c>
      <c r="H32" s="39">
        <f>$D32+$D32*SSP_parameters_assumptions!H34</f>
        <v>0.84550000000000003</v>
      </c>
      <c r="I32" s="39">
        <f>$D32+$D32*SSP_parameters_assumptions!I34</f>
        <v>1.1125</v>
      </c>
      <c r="J32" s="38"/>
      <c r="K32" s="38"/>
      <c r="L32" s="38"/>
      <c r="M32" s="38"/>
    </row>
    <row r="33" spans="1:13" x14ac:dyDescent="0.25">
      <c r="A33" s="659"/>
      <c r="B33" s="658"/>
      <c r="C33" s="91" t="s">
        <v>48</v>
      </c>
      <c r="D33" s="91">
        <v>1</v>
      </c>
      <c r="E33" s="39">
        <f>$D33+$D33*SSP_parameters_assumptions!E35</f>
        <v>1.25</v>
      </c>
      <c r="F33" s="39">
        <f>$D33+$D33*SSP_parameters_assumptions!F35</f>
        <v>1</v>
      </c>
      <c r="G33" s="39">
        <f>$D33+$D33*SSP_parameters_assumptions!G35</f>
        <v>0.5</v>
      </c>
      <c r="H33" s="39">
        <f>$D33+$D33*SSP_parameters_assumptions!H35</f>
        <v>0.8</v>
      </c>
      <c r="I33" s="39">
        <f>$D33+$D33*SSP_parameters_assumptions!I35</f>
        <v>1</v>
      </c>
      <c r="J33" s="38"/>
      <c r="K33" s="38"/>
      <c r="L33" s="38"/>
      <c r="M33" s="38"/>
    </row>
    <row r="34" spans="1:13" x14ac:dyDescent="0.25">
      <c r="A34" s="659"/>
      <c r="B34" s="658"/>
      <c r="C34" s="91" t="s">
        <v>49</v>
      </c>
      <c r="D34" s="91">
        <v>0.8</v>
      </c>
      <c r="E34" s="39">
        <f>$D34+$D34*SSP_parameters_assumptions!E36</f>
        <v>0.8</v>
      </c>
      <c r="F34" s="39">
        <f>$D34+$D34*SSP_parameters_assumptions!F36</f>
        <v>0.8</v>
      </c>
      <c r="G34" s="39">
        <f>$D34+$D34*SSP_parameters_assumptions!G36</f>
        <v>1.2000000000000002</v>
      </c>
      <c r="H34" s="39">
        <f>$D34+$D34*SSP_parameters_assumptions!H36</f>
        <v>0.96000000000000008</v>
      </c>
      <c r="I34" s="39">
        <f>$D34+$D34*SSP_parameters_assumptions!I36</f>
        <v>0.84000000000000008</v>
      </c>
      <c r="J34" s="38"/>
      <c r="K34" s="38"/>
      <c r="L34" s="38"/>
      <c r="M34" s="38"/>
    </row>
    <row r="35" spans="1:13" x14ac:dyDescent="0.25">
      <c r="A35" s="659"/>
      <c r="B35" s="658" t="s">
        <v>394</v>
      </c>
      <c r="C35" s="91" t="s">
        <v>50</v>
      </c>
      <c r="D35" s="91">
        <v>1</v>
      </c>
      <c r="E35" s="39">
        <f>$D35+$D35*SSP_parameters_assumptions!E37</f>
        <v>0.9</v>
      </c>
      <c r="F35" s="39">
        <f>$D35+$D35*SSP_parameters_assumptions!F37</f>
        <v>1</v>
      </c>
      <c r="G35" s="39">
        <f>$D35+$D35*SSP_parameters_assumptions!G37</f>
        <v>1.1000000000000001</v>
      </c>
      <c r="H35" s="39">
        <f>$D35+$D35*SSP_parameters_assumptions!H37</f>
        <v>1.25</v>
      </c>
      <c r="I35" s="39">
        <f>$D35+$D35*SSP_parameters_assumptions!I37</f>
        <v>1.3</v>
      </c>
      <c r="J35" s="38"/>
      <c r="K35" s="38"/>
      <c r="L35" s="38"/>
      <c r="M35" s="38"/>
    </row>
    <row r="36" spans="1:13" x14ac:dyDescent="0.25">
      <c r="A36" s="659"/>
      <c r="B36" s="658"/>
      <c r="C36" s="55" t="s">
        <v>1492</v>
      </c>
      <c r="D36" s="91">
        <v>8</v>
      </c>
      <c r="E36" s="39">
        <f>$D36+$D36*SSP_parameters_assumptions!E38</f>
        <v>26</v>
      </c>
      <c r="F36" s="39">
        <f>$D36+$D36*SSP_parameters_assumptions!F38</f>
        <v>8</v>
      </c>
      <c r="G36" s="550">
        <v>1</v>
      </c>
      <c r="H36" s="39">
        <f>$D36+$D36*SSP_parameters_assumptions!H38</f>
        <v>12</v>
      </c>
      <c r="I36" s="39">
        <f>$D36+$D36*SSP_parameters_assumptions!I38</f>
        <v>9.6</v>
      </c>
      <c r="J36" s="38"/>
      <c r="K36" s="38"/>
      <c r="L36" s="38"/>
      <c r="M36" s="38"/>
    </row>
    <row r="37" spans="1:13" x14ac:dyDescent="0.25">
      <c r="A37" s="659"/>
      <c r="B37" s="658"/>
      <c r="C37" s="55" t="s">
        <v>1493</v>
      </c>
      <c r="D37" s="91">
        <v>6</v>
      </c>
      <c r="E37" s="39">
        <f>$D37+$D37*SSP_parameters_assumptions!E39</f>
        <v>9</v>
      </c>
      <c r="F37" s="39">
        <f>$D37+$D37*SSP_parameters_assumptions!F39</f>
        <v>6</v>
      </c>
      <c r="G37" s="550">
        <v>1</v>
      </c>
      <c r="H37" s="39">
        <f>$D37+$D37*SSP_parameters_assumptions!H39</f>
        <v>6</v>
      </c>
      <c r="I37" s="39">
        <f>$D37+$D37*SSP_parameters_assumptions!I39</f>
        <v>5.7</v>
      </c>
      <c r="J37" s="38"/>
      <c r="K37" s="38"/>
      <c r="L37" s="38"/>
      <c r="M37" s="38"/>
    </row>
    <row r="38" spans="1:13" s="358" customFormat="1" x14ac:dyDescent="0.25">
      <c r="A38" s="659"/>
      <c r="B38" s="658"/>
      <c r="C38" s="55" t="s">
        <v>1494</v>
      </c>
      <c r="D38" s="91">
        <v>3.25</v>
      </c>
      <c r="E38" s="39">
        <f>$D38+$D38*SSP_parameters_assumptions!E40</f>
        <v>11.375</v>
      </c>
      <c r="F38" s="39">
        <f>$D38+$D38*SSP_parameters_assumptions!F40</f>
        <v>3.25</v>
      </c>
      <c r="G38" s="39">
        <f>$D38+$D38*SSP_parameters_assumptions!G40</f>
        <v>13</v>
      </c>
      <c r="H38" s="39">
        <f>$D38+$D38*SSP_parameters_assumptions!H40</f>
        <v>8.125</v>
      </c>
      <c r="I38" s="39">
        <f>$D38+$D38*SSP_parameters_assumptions!I40</f>
        <v>4.0625</v>
      </c>
      <c r="J38" s="507"/>
      <c r="K38" s="507"/>
      <c r="L38" s="507"/>
      <c r="M38" s="507"/>
    </row>
    <row r="39" spans="1:13" s="358" customFormat="1" x14ac:dyDescent="0.25">
      <c r="A39" s="659" t="s">
        <v>1511</v>
      </c>
      <c r="B39" s="658" t="s">
        <v>1508</v>
      </c>
      <c r="C39" s="55" t="s">
        <v>70</v>
      </c>
      <c r="D39" s="91">
        <v>1</v>
      </c>
      <c r="E39" s="39">
        <f>$D39+$D39*SSP_parameters_assumptions!E42</f>
        <v>0.5</v>
      </c>
      <c r="F39" s="39">
        <f>$D39+$D39*SSP_parameters_assumptions!F42</f>
        <v>1</v>
      </c>
      <c r="G39" s="39">
        <f>$D39+$D39*SSP_parameters_assumptions!G42</f>
        <v>0.8</v>
      </c>
      <c r="H39" s="39">
        <f>$D39+$D39*SSP_parameters_assumptions!H42</f>
        <v>0.8</v>
      </c>
      <c r="I39" s="39">
        <f>$D39+$D39*SSP_parameters_assumptions!I42</f>
        <v>1.2</v>
      </c>
      <c r="J39" s="38"/>
      <c r="K39" s="38"/>
      <c r="L39" s="38"/>
      <c r="M39" s="38"/>
    </row>
    <row r="40" spans="1:13" s="358" customFormat="1" x14ac:dyDescent="0.25">
      <c r="A40" s="659"/>
      <c r="B40" s="658"/>
      <c r="C40" s="91" t="s">
        <v>78</v>
      </c>
      <c r="D40" s="91">
        <v>0.15</v>
      </c>
      <c r="E40" s="39">
        <f>$D40+$D40*SSP_parameters_assumptions!E43</f>
        <v>0.11249999999999999</v>
      </c>
      <c r="F40" s="39">
        <f>$D40+$D40*SSP_parameters_assumptions!F43</f>
        <v>0.15</v>
      </c>
      <c r="G40" s="39">
        <f>$D40+$D40*SSP_parameters_assumptions!G43</f>
        <v>0.17249999999999999</v>
      </c>
      <c r="H40" s="39">
        <f>$D40+$D40*SSP_parameters_assumptions!H43</f>
        <v>0.1275</v>
      </c>
      <c r="I40" s="39">
        <f>$D40+$D40*SSP_parameters_assumptions!I43</f>
        <v>0.22499999999999998</v>
      </c>
      <c r="J40" s="507"/>
      <c r="K40" s="507"/>
      <c r="L40" s="507"/>
      <c r="M40" s="507"/>
    </row>
    <row r="41" spans="1:13" s="358" customFormat="1" x14ac:dyDescent="0.25">
      <c r="A41" s="659"/>
      <c r="B41" s="658"/>
      <c r="C41" s="89" t="s">
        <v>73</v>
      </c>
      <c r="D41" s="91">
        <v>2.8E-11</v>
      </c>
      <c r="E41" s="39">
        <f>$D41+$D41*SSP_parameters_assumptions!E45</f>
        <v>1.4E-11</v>
      </c>
      <c r="F41" s="39">
        <f>$D41+$D41*SSP_parameters_assumptions!F45</f>
        <v>2.8E-11</v>
      </c>
      <c r="G41" s="39">
        <f>$D41+$D41*SSP_parameters_assumptions!G45</f>
        <v>2.2400000000000001E-11</v>
      </c>
      <c r="H41" s="39">
        <f>$D41+$D41*SSP_parameters_assumptions!H45</f>
        <v>2.2400000000000001E-11</v>
      </c>
      <c r="I41" s="39">
        <f>$D41+$D41*SSP_parameters_assumptions!I45</f>
        <v>3.3599999999999999E-11</v>
      </c>
      <c r="J41" s="507"/>
      <c r="K41" s="507"/>
      <c r="L41" s="507"/>
      <c r="M41" s="507"/>
    </row>
    <row r="42" spans="1:13" s="358" customFormat="1" x14ac:dyDescent="0.25">
      <c r="A42" s="659"/>
      <c r="B42" s="658"/>
      <c r="C42" s="89" t="s">
        <v>77</v>
      </c>
      <c r="D42" s="89">
        <v>3E-11</v>
      </c>
      <c r="E42" s="39">
        <f>$D42+$D42*SSP_parameters_assumptions!E46</f>
        <v>1.6500000000000001E-11</v>
      </c>
      <c r="F42" s="39">
        <f>$D42+$D42*SSP_parameters_assumptions!F46</f>
        <v>3E-11</v>
      </c>
      <c r="G42" s="39">
        <f>$D42+$D42*SSP_parameters_assumptions!G46</f>
        <v>1.9499999999999997E-11</v>
      </c>
      <c r="H42" s="39">
        <f>$D42+$D42*SSP_parameters_assumptions!H46</f>
        <v>1.5E-11</v>
      </c>
      <c r="I42" s="39">
        <f>$D42+$D42*SSP_parameters_assumptions!I46</f>
        <v>4.0500000000000002E-11</v>
      </c>
      <c r="J42" s="507"/>
      <c r="K42" s="507"/>
      <c r="L42" s="507"/>
      <c r="M42" s="507"/>
    </row>
    <row r="43" spans="1:13" s="358" customFormat="1" x14ac:dyDescent="0.25">
      <c r="A43" s="659"/>
      <c r="B43" s="658"/>
      <c r="C43" s="55" t="s">
        <v>81</v>
      </c>
      <c r="D43" s="89">
        <v>1.2999999999999999E-12</v>
      </c>
      <c r="E43" s="39">
        <f>$D43+$D43*SSP_parameters_assumptions!E47</f>
        <v>9.7499999999999999E-13</v>
      </c>
      <c r="F43" s="39">
        <f>$D43+$D43*SSP_parameters_assumptions!F47</f>
        <v>1.2999999999999999E-12</v>
      </c>
      <c r="G43" s="39">
        <f>$D43+$D43*SSP_parameters_assumptions!G47</f>
        <v>1.495E-12</v>
      </c>
      <c r="H43" s="39">
        <f>$D43+$D43*SSP_parameters_assumptions!H47</f>
        <v>1.1049999999999998E-12</v>
      </c>
      <c r="I43" s="39">
        <f>$D43+$D43*SSP_parameters_assumptions!I47</f>
        <v>1.95E-12</v>
      </c>
      <c r="J43" s="507"/>
      <c r="K43" s="507"/>
      <c r="L43" s="507"/>
      <c r="M43" s="507"/>
    </row>
    <row r="44" spans="1:13" s="358" customFormat="1" x14ac:dyDescent="0.25">
      <c r="A44" s="659"/>
      <c r="B44" s="658"/>
      <c r="C44" s="91" t="s">
        <v>56</v>
      </c>
      <c r="D44" s="89">
        <v>2</v>
      </c>
      <c r="E44" s="39">
        <f>$D44+$D44*SSP_parameters_assumptions!E48</f>
        <v>2.2999999999999998</v>
      </c>
      <c r="F44" s="39">
        <f>$D44+$D44*SSP_parameters_assumptions!F48</f>
        <v>2</v>
      </c>
      <c r="G44" s="39">
        <f>$D44+$D44*SSP_parameters_assumptions!G48</f>
        <v>1.5</v>
      </c>
      <c r="H44" s="39">
        <f>$D44+$D44*SSP_parameters_assumptions!H48</f>
        <v>1.8</v>
      </c>
      <c r="I44" s="39">
        <f>$D44+$D44*SSP_parameters_assumptions!I48</f>
        <v>2</v>
      </c>
      <c r="J44" s="507"/>
      <c r="K44" s="507"/>
      <c r="L44" s="507"/>
      <c r="M44" s="507"/>
    </row>
    <row r="45" spans="1:13" s="358" customFormat="1" x14ac:dyDescent="0.25">
      <c r="A45" s="659"/>
      <c r="B45" s="658"/>
      <c r="C45" s="55" t="s">
        <v>63</v>
      </c>
      <c r="D45" s="91">
        <v>0.2</v>
      </c>
      <c r="E45" s="39">
        <f>$D45+$D45*SSP_parameters_assumptions!E49</f>
        <v>0.23</v>
      </c>
      <c r="F45" s="39">
        <f>$D45+$D45*SSP_parameters_assumptions!F49</f>
        <v>0.2</v>
      </c>
      <c r="G45" s="39">
        <f>$D45+$D45*SSP_parameters_assumptions!G49</f>
        <v>0.14000000000000001</v>
      </c>
      <c r="H45" s="39">
        <f>$D45+$D45*SSP_parameters_assumptions!H49</f>
        <v>0.18</v>
      </c>
      <c r="I45" s="39">
        <f>$D45+$D45*SSP_parameters_assumptions!I49</f>
        <v>0.2</v>
      </c>
      <c r="J45" s="38"/>
      <c r="K45" s="38"/>
      <c r="L45" s="38"/>
      <c r="M45" s="38"/>
    </row>
    <row r="46" spans="1:13" s="358" customFormat="1" x14ac:dyDescent="0.25">
      <c r="A46" s="659"/>
      <c r="B46" s="658"/>
      <c r="C46" s="539" t="s">
        <v>69</v>
      </c>
      <c r="D46" s="91">
        <v>50</v>
      </c>
      <c r="E46" s="39">
        <f>$D46+$D46*SSP_parameters_assumptions!E50</f>
        <v>42.5</v>
      </c>
      <c r="F46" s="39">
        <f>$D46+$D46*SSP_parameters_assumptions!F50</f>
        <v>50</v>
      </c>
      <c r="G46" s="39">
        <f>$D46+$D46*SSP_parameters_assumptions!G50</f>
        <v>65</v>
      </c>
      <c r="H46" s="39">
        <f>$D46+$D46*SSP_parameters_assumptions!H50</f>
        <v>55</v>
      </c>
      <c r="I46" s="39">
        <f>$D46+$D46*SSP_parameters_assumptions!I50</f>
        <v>50</v>
      </c>
      <c r="J46" s="519"/>
      <c r="K46" s="519"/>
      <c r="L46" s="519"/>
      <c r="M46" s="519"/>
    </row>
    <row r="47" spans="1:13" x14ac:dyDescent="0.25">
      <c r="A47" s="659"/>
      <c r="B47" s="658" t="s">
        <v>1509</v>
      </c>
      <c r="C47" s="89" t="s">
        <v>71</v>
      </c>
      <c r="D47" s="89">
        <v>0.04</v>
      </c>
      <c r="E47" s="39">
        <f>$D47+$D47*SSP_parameters_assumptions!E51</f>
        <v>0.02</v>
      </c>
      <c r="F47" s="39">
        <f>$D47+$D47*SSP_parameters_assumptions!F51</f>
        <v>0.04</v>
      </c>
      <c r="G47" s="39">
        <f>$D47+$D47*SSP_parameters_assumptions!G51</f>
        <v>3.2000000000000001E-2</v>
      </c>
      <c r="H47" s="39">
        <f>$D47+$D47*SSP_parameters_assumptions!H51</f>
        <v>3.2000000000000001E-2</v>
      </c>
      <c r="I47" s="39">
        <f>$D47+$D47*SSP_parameters_assumptions!I51</f>
        <v>4.8000000000000001E-2</v>
      </c>
      <c r="J47" s="38"/>
      <c r="K47" s="38"/>
      <c r="L47" s="38"/>
      <c r="M47" s="38"/>
    </row>
    <row r="48" spans="1:13" x14ac:dyDescent="0.25">
      <c r="A48" s="659"/>
      <c r="B48" s="658"/>
      <c r="C48" s="89" t="s">
        <v>75</v>
      </c>
      <c r="D48" s="89">
        <v>0.04</v>
      </c>
      <c r="E48" s="39">
        <f>$D48+$D48*SSP_parameters_assumptions!E52</f>
        <v>0.03</v>
      </c>
      <c r="F48" s="39">
        <f>$D48+$D48*SSP_parameters_assumptions!F52</f>
        <v>0.04</v>
      </c>
      <c r="G48" s="39">
        <f>$D48+$D48*SSP_parameters_assumptions!G52</f>
        <v>3.4000000000000002E-2</v>
      </c>
      <c r="H48" s="39">
        <f>$D48+$D48*SSP_parameters_assumptions!H52</f>
        <v>0.03</v>
      </c>
      <c r="I48" s="39">
        <f>$D48+$D48*SSP_parameters_assumptions!I52</f>
        <v>4.8000000000000001E-2</v>
      </c>
      <c r="J48" s="38"/>
      <c r="K48" s="38"/>
      <c r="L48" s="38"/>
      <c r="M48" s="38"/>
    </row>
    <row r="49" spans="1:13" x14ac:dyDescent="0.25">
      <c r="A49" s="659"/>
      <c r="B49" s="658"/>
      <c r="C49" s="89" t="s">
        <v>79</v>
      </c>
      <c r="D49" s="89">
        <v>0.35</v>
      </c>
      <c r="E49" s="39">
        <f>$D49+$D49*SSP_parameters_assumptions!E53</f>
        <v>0.26249999999999996</v>
      </c>
      <c r="F49" s="39">
        <f>$D49+$D49*SSP_parameters_assumptions!F53</f>
        <v>0.35</v>
      </c>
      <c r="G49" s="39">
        <f>$D49+$D49*SSP_parameters_assumptions!G53</f>
        <v>0.40249999999999997</v>
      </c>
      <c r="H49" s="39">
        <f>$D49+$D49*SSP_parameters_assumptions!H53</f>
        <v>0.29749999999999999</v>
      </c>
      <c r="I49" s="39">
        <f>$D49+$D49*SSP_parameters_assumptions!I53</f>
        <v>0.52499999999999991</v>
      </c>
      <c r="J49" s="38"/>
      <c r="K49" s="38"/>
      <c r="L49" s="38"/>
      <c r="M49" s="38"/>
    </row>
    <row r="50" spans="1:13" x14ac:dyDescent="0.25">
      <c r="A50" s="659"/>
      <c r="B50" s="658"/>
      <c r="C50" s="51" t="s">
        <v>82</v>
      </c>
      <c r="D50" s="91">
        <v>5</v>
      </c>
      <c r="E50" s="39">
        <f>$D50+$D50*SSP_parameters_assumptions!E54</f>
        <v>6.25</v>
      </c>
      <c r="F50" s="39">
        <f>$D50+$D50*SSP_parameters_assumptions!F54</f>
        <v>5</v>
      </c>
      <c r="G50" s="39">
        <f>$D50+$D50*SSP_parameters_assumptions!G54</f>
        <v>4.25</v>
      </c>
      <c r="H50" s="39">
        <f>$D50+$D50*SSP_parameters_assumptions!H54</f>
        <v>5.75</v>
      </c>
      <c r="I50" s="39">
        <f>$D50+$D50*SSP_parameters_assumptions!I54</f>
        <v>2.5</v>
      </c>
      <c r="J50" s="38"/>
      <c r="K50" s="38"/>
      <c r="L50" s="38"/>
      <c r="M50" s="38"/>
    </row>
    <row r="51" spans="1:13" x14ac:dyDescent="0.25">
      <c r="A51" s="659" t="s">
        <v>1512</v>
      </c>
      <c r="B51" s="658" t="s">
        <v>1510</v>
      </c>
      <c r="C51" s="93" t="s">
        <v>171</v>
      </c>
      <c r="D51" s="91">
        <v>900000</v>
      </c>
      <c r="E51" s="39">
        <f>$D51+$D51*SSP_parameters_assumptions!E55</f>
        <v>675000</v>
      </c>
      <c r="F51" s="39">
        <f>$D51+$D51*SSP_parameters_assumptions!F55</f>
        <v>900000</v>
      </c>
      <c r="G51" s="39">
        <f>$D51+$D51*SSP_parameters_assumptions!G55</f>
        <v>1035000</v>
      </c>
      <c r="H51" s="39">
        <f>$D51+$D51*SSP_parameters_assumptions!H55</f>
        <v>765000</v>
      </c>
      <c r="I51" s="39">
        <f>$D51+$D51*SSP_parameters_assumptions!I55</f>
        <v>1350000</v>
      </c>
      <c r="J51" s="38"/>
      <c r="K51" s="38"/>
      <c r="L51" s="38"/>
      <c r="M51" s="38"/>
    </row>
    <row r="52" spans="1:13" x14ac:dyDescent="0.25">
      <c r="A52" s="659"/>
      <c r="B52" s="658"/>
      <c r="C52" s="55" t="s">
        <v>1495</v>
      </c>
      <c r="D52" s="91">
        <v>21000000000</v>
      </c>
      <c r="E52" s="39">
        <f>$D52+$D52*SSP_parameters_assumptions!E56</f>
        <v>10500000000</v>
      </c>
      <c r="F52" s="39">
        <f>$D52+$D52*SSP_parameters_assumptions!F56</f>
        <v>21000000000</v>
      </c>
      <c r="G52" s="39">
        <f>$D52+$D52*SSP_parameters_assumptions!G56</f>
        <v>16800000000</v>
      </c>
      <c r="H52" s="39">
        <f>$D52+$D52*SSP_parameters_assumptions!H56</f>
        <v>16800000000</v>
      </c>
      <c r="I52" s="39">
        <f>$D52+$D52*SSP_parameters_assumptions!I56</f>
        <v>36750000000</v>
      </c>
      <c r="J52" s="38"/>
      <c r="K52" s="38"/>
      <c r="L52" s="38"/>
      <c r="M52" s="38"/>
    </row>
    <row r="53" spans="1:13" x14ac:dyDescent="0.25">
      <c r="A53" s="659"/>
      <c r="B53" s="658"/>
      <c r="C53" s="55" t="s">
        <v>1496</v>
      </c>
      <c r="D53" s="91">
        <v>5000</v>
      </c>
      <c r="E53" s="39">
        <f>$D53+$D53*SSP_parameters_assumptions!E57</f>
        <v>2750</v>
      </c>
      <c r="F53" s="39">
        <f>$D53+$D53*SSP_parameters_assumptions!F57</f>
        <v>5000</v>
      </c>
      <c r="G53" s="39">
        <f>$D53+$D53*SSP_parameters_assumptions!G57</f>
        <v>3250</v>
      </c>
      <c r="H53" s="39">
        <f>$D53+$D53*SSP_parameters_assumptions!H57</f>
        <v>2500</v>
      </c>
      <c r="I53" s="39">
        <f>$D53+$D53*SSP_parameters_assumptions!I57</f>
        <v>6750</v>
      </c>
      <c r="J53" s="38"/>
      <c r="K53" s="38"/>
      <c r="L53" s="38"/>
      <c r="M53" s="38"/>
    </row>
    <row r="54" spans="1:13" x14ac:dyDescent="0.25">
      <c r="A54" s="659"/>
      <c r="B54" s="658"/>
      <c r="C54" s="50" t="s">
        <v>55</v>
      </c>
      <c r="D54" s="89">
        <v>10</v>
      </c>
      <c r="E54" s="39">
        <f>$D54+$D54*SSP_parameters_assumptions!E58</f>
        <v>6</v>
      </c>
      <c r="F54" s="39">
        <f>$D54+$D54*SSP_parameters_assumptions!F58</f>
        <v>10</v>
      </c>
      <c r="G54" s="39">
        <f>$D54+$D54*SSP_parameters_assumptions!G58</f>
        <v>17.5</v>
      </c>
      <c r="H54" s="39">
        <f>$D54+$D54*SSP_parameters_assumptions!H58</f>
        <v>13</v>
      </c>
      <c r="I54" s="39">
        <f>$D54+$D54*SSP_parameters_assumptions!I58</f>
        <v>10</v>
      </c>
      <c r="J54" s="507"/>
      <c r="K54" s="507"/>
      <c r="L54" s="507"/>
      <c r="M54" s="507"/>
    </row>
    <row r="55" spans="1:13" x14ac:dyDescent="0.25">
      <c r="A55" s="659"/>
      <c r="B55" s="658"/>
      <c r="C55" s="50" t="s">
        <v>61</v>
      </c>
      <c r="D55" s="89">
        <v>30000000</v>
      </c>
      <c r="E55" s="39">
        <f>$D55+$D55*SSP_parameters_assumptions!E59</f>
        <v>10500000</v>
      </c>
      <c r="F55" s="39">
        <f>$D55+$D55*SSP_parameters_assumptions!F59</f>
        <v>30000000</v>
      </c>
      <c r="G55" s="39">
        <f>$D55+$D55*SSP_parameters_assumptions!G59</f>
        <v>3000000</v>
      </c>
      <c r="H55" s="39">
        <f>$D55+$D55*SSP_parameters_assumptions!H59</f>
        <v>18000000</v>
      </c>
      <c r="I55" s="39">
        <f>$D55+$D55*SSP_parameters_assumptions!I59</f>
        <v>27000000</v>
      </c>
      <c r="J55" s="507"/>
      <c r="K55" s="507"/>
      <c r="L55" s="507"/>
      <c r="M55" s="507"/>
    </row>
    <row r="56" spans="1:13" x14ac:dyDescent="0.25">
      <c r="A56" s="659"/>
      <c r="B56" s="658" t="s">
        <v>285</v>
      </c>
      <c r="C56" s="92" t="s">
        <v>1514</v>
      </c>
      <c r="D56" s="92"/>
      <c r="E56" s="538">
        <v>0.75081912900486103</v>
      </c>
      <c r="F56" s="538">
        <v>1</v>
      </c>
      <c r="G56" s="538">
        <v>1.0523019330463788</v>
      </c>
      <c r="H56" s="538">
        <v>0.90947115515778898</v>
      </c>
      <c r="I56" s="538">
        <v>1.3065035856229865</v>
      </c>
      <c r="J56" s="74"/>
      <c r="K56" s="74"/>
      <c r="L56" s="74"/>
      <c r="M56" s="74"/>
    </row>
    <row r="57" spans="1:13" x14ac:dyDescent="0.25">
      <c r="A57" s="659"/>
      <c r="B57" s="658"/>
      <c r="C57" s="92" t="s">
        <v>1513</v>
      </c>
      <c r="D57" s="92"/>
      <c r="E57" s="538">
        <v>0.28725144192278157</v>
      </c>
      <c r="F57" s="538">
        <v>1</v>
      </c>
      <c r="G57" s="538">
        <v>0.99452372782846787</v>
      </c>
      <c r="H57" s="538">
        <v>0.52267185782209558</v>
      </c>
      <c r="I57" s="538">
        <v>1.4716561513091095</v>
      </c>
      <c r="J57" s="74"/>
      <c r="K57" s="74"/>
      <c r="L57" s="74"/>
      <c r="M57" s="74"/>
    </row>
    <row r="58" spans="1:13" ht="14.25" customHeight="1" x14ac:dyDescent="0.25">
      <c r="A58" s="659"/>
      <c r="B58" s="658"/>
      <c r="C58" s="89" t="s">
        <v>127</v>
      </c>
      <c r="D58" s="89">
        <v>7500000000</v>
      </c>
      <c r="E58" s="39">
        <f>$D58+$D58*SSP_parameters_assumptions!E62</f>
        <v>0</v>
      </c>
      <c r="F58" s="39">
        <f>$D58+$D58*SSP_parameters_assumptions!F62</f>
        <v>7500000000</v>
      </c>
      <c r="G58" s="39">
        <f>$D58+$D58*SSP_parameters_assumptions!G62</f>
        <v>30000000000</v>
      </c>
      <c r="H58" s="39">
        <f>$D58+$D58*SSP_parameters_assumptions!H62</f>
        <v>22500000000</v>
      </c>
      <c r="I58" s="39">
        <f>$D58+$D58*SSP_parameters_assumptions!I62</f>
        <v>30000000000</v>
      </c>
      <c r="J58" s="38"/>
      <c r="K58" s="38"/>
      <c r="L58" s="38"/>
      <c r="M58" s="38"/>
    </row>
    <row r="59" spans="1:13" x14ac:dyDescent="0.25">
      <c r="A59" s="659"/>
      <c r="B59" s="658"/>
      <c r="C59" s="365" t="s">
        <v>1061</v>
      </c>
      <c r="D59" s="365">
        <v>0</v>
      </c>
      <c r="E59" s="547">
        <v>1</v>
      </c>
      <c r="F59" s="547">
        <v>0</v>
      </c>
      <c r="G59" s="547">
        <v>0</v>
      </c>
      <c r="H59" s="547">
        <v>1</v>
      </c>
      <c r="I59" s="547">
        <v>1</v>
      </c>
      <c r="J59" s="515"/>
      <c r="K59" s="515"/>
      <c r="L59" s="515"/>
      <c r="M59" s="515"/>
    </row>
    <row r="60" spans="1:13" s="358" customFormat="1" x14ac:dyDescent="0.25">
      <c r="A60" s="659" t="s">
        <v>135</v>
      </c>
      <c r="B60" s="658" t="s">
        <v>288</v>
      </c>
      <c r="C60" s="533" t="s">
        <v>1515</v>
      </c>
      <c r="D60" s="90"/>
      <c r="E60" s="536">
        <v>1.032815256527974</v>
      </c>
      <c r="F60" s="536">
        <v>1</v>
      </c>
      <c r="G60" s="536">
        <v>0.85766385705000581</v>
      </c>
      <c r="H60" s="536">
        <v>1.0024038213537745</v>
      </c>
      <c r="I60" s="536">
        <v>1.0237390254722529</v>
      </c>
      <c r="J60" s="671"/>
      <c r="K60" s="671"/>
      <c r="L60" s="671"/>
      <c r="M60" s="671"/>
    </row>
    <row r="61" spans="1:13" s="358" customFormat="1" ht="14.25" customHeight="1" x14ac:dyDescent="0.25">
      <c r="A61" s="659"/>
      <c r="B61" s="658"/>
      <c r="C61" s="50" t="s">
        <v>88</v>
      </c>
      <c r="D61" s="89">
        <v>0.95</v>
      </c>
      <c r="E61" s="39">
        <f>$D61+$D61*SSP_parameters_assumptions!E65</f>
        <v>0.90249999999999997</v>
      </c>
      <c r="F61" s="39">
        <f>$D61+$D61*SSP_parameters_assumptions!F65</f>
        <v>0.95</v>
      </c>
      <c r="G61" s="550">
        <v>1</v>
      </c>
      <c r="H61" s="39">
        <f>$D61+$D61*SSP_parameters_assumptions!H65</f>
        <v>0.95</v>
      </c>
      <c r="I61" s="39">
        <f>$D61+$D61*SSP_parameters_assumptions!I65</f>
        <v>0.93099999999999994</v>
      </c>
      <c r="J61" s="519"/>
      <c r="K61" s="519"/>
      <c r="L61" s="519"/>
      <c r="M61" s="519"/>
    </row>
    <row r="62" spans="1:13" s="358" customFormat="1" x14ac:dyDescent="0.25">
      <c r="A62" s="659"/>
      <c r="B62" s="658"/>
      <c r="C62" s="347" t="s">
        <v>89</v>
      </c>
      <c r="D62" s="89">
        <v>5</v>
      </c>
      <c r="E62" s="39">
        <f>$D62+$D62*SSP_parameters_assumptions!E66</f>
        <v>5.5</v>
      </c>
      <c r="F62" s="39">
        <f>$D62+$D62*SSP_parameters_assumptions!F66</f>
        <v>5</v>
      </c>
      <c r="G62" s="39">
        <f>$D62+$D62*SSP_parameters_assumptions!G66</f>
        <v>2.5</v>
      </c>
      <c r="H62" s="39">
        <f>$D62+$D62*SSP_parameters_assumptions!H66</f>
        <v>5</v>
      </c>
      <c r="I62" s="39">
        <f>$D62+$D62*SSP_parameters_assumptions!I66</f>
        <v>5.25</v>
      </c>
      <c r="J62" s="519"/>
      <c r="K62" s="519"/>
      <c r="L62" s="519"/>
      <c r="M62" s="519"/>
    </row>
    <row r="63" spans="1:13" x14ac:dyDescent="0.25">
      <c r="A63" s="659"/>
      <c r="B63" s="658" t="s">
        <v>289</v>
      </c>
      <c r="C63" s="533" t="s">
        <v>1516</v>
      </c>
      <c r="D63" s="90"/>
      <c r="E63" s="536">
        <v>0.68793367177281695</v>
      </c>
      <c r="F63" s="536">
        <v>1</v>
      </c>
      <c r="G63" s="536">
        <v>1.1144560952359841</v>
      </c>
      <c r="H63" s="536">
        <v>0.71932430335409792</v>
      </c>
      <c r="I63" s="536">
        <v>1.1444944467844556</v>
      </c>
      <c r="J63" s="671"/>
      <c r="K63" s="671"/>
      <c r="L63" s="671"/>
      <c r="M63" s="671"/>
    </row>
    <row r="64" spans="1:13" x14ac:dyDescent="0.25">
      <c r="A64" s="659"/>
      <c r="B64" s="658"/>
      <c r="C64" s="533" t="s">
        <v>1517</v>
      </c>
      <c r="D64" s="90"/>
      <c r="E64" s="536">
        <v>1.0072636282394996</v>
      </c>
      <c r="F64" s="536">
        <v>1</v>
      </c>
      <c r="G64" s="536">
        <v>1.3653386952636282</v>
      </c>
      <c r="H64" s="536">
        <v>0.94979982126899021</v>
      </c>
      <c r="I64" s="536">
        <v>1.1077462019660411</v>
      </c>
      <c r="J64" s="557"/>
      <c r="K64" s="557"/>
      <c r="L64" s="557"/>
      <c r="M64" s="557"/>
    </row>
    <row r="65" spans="1:13" ht="14.25" customHeight="1" x14ac:dyDescent="0.25">
      <c r="A65" s="659"/>
      <c r="B65" s="658"/>
      <c r="C65" s="91" t="s">
        <v>109</v>
      </c>
      <c r="D65" s="91">
        <v>7.0000000000000007E-2</v>
      </c>
      <c r="E65" s="39">
        <f>$D65+$D65*SSP_parameters_assumptions!E69</f>
        <v>8.7500000000000008E-2</v>
      </c>
      <c r="F65" s="39">
        <f>$D65+$D65*SSP_parameters_assumptions!F69</f>
        <v>7.0000000000000007E-2</v>
      </c>
      <c r="G65" s="39">
        <f>$D65+$D65*SSP_parameters_assumptions!G69</f>
        <v>5.2500000000000005E-2</v>
      </c>
      <c r="H65" s="39">
        <f>$D65+$D65*SSP_parameters_assumptions!H69</f>
        <v>6.3E-2</v>
      </c>
      <c r="I65" s="39">
        <f>$D65+$D65*SSP_parameters_assumptions!I69</f>
        <v>8.0500000000000002E-2</v>
      </c>
      <c r="J65" s="507"/>
      <c r="K65" s="507"/>
      <c r="L65" s="507"/>
      <c r="M65" s="507"/>
    </row>
    <row r="66" spans="1:13" x14ac:dyDescent="0.25">
      <c r="A66" s="659"/>
      <c r="B66" s="658"/>
      <c r="C66" s="89" t="s">
        <v>107</v>
      </c>
      <c r="D66" s="89">
        <v>0.3</v>
      </c>
      <c r="E66" s="39">
        <f>$D66+$D66*SSP_parameters_assumptions!E70</f>
        <v>0.34499999999999997</v>
      </c>
      <c r="F66" s="39">
        <f>$D66+$D66*SSP_parameters_assumptions!F70</f>
        <v>0.3</v>
      </c>
      <c r="G66" s="39">
        <f>$D66+$D66*SSP_parameters_assumptions!G70</f>
        <v>0.22499999999999998</v>
      </c>
      <c r="H66" s="39">
        <f>$D66+$D66*SSP_parameters_assumptions!H70</f>
        <v>0.27</v>
      </c>
      <c r="I66" s="39">
        <f>$D66+$D66*SSP_parameters_assumptions!I70</f>
        <v>0.34499999999999997</v>
      </c>
      <c r="J66" s="507"/>
      <c r="K66" s="507"/>
      <c r="L66" s="507"/>
      <c r="M66" s="507"/>
    </row>
    <row r="67" spans="1:13" x14ac:dyDescent="0.25">
      <c r="A67" s="659" t="s">
        <v>1523</v>
      </c>
      <c r="B67" s="542"/>
      <c r="C67" s="92" t="s">
        <v>1521</v>
      </c>
      <c r="D67" s="544"/>
      <c r="E67" s="545">
        <v>0.82404143475572045</v>
      </c>
      <c r="F67" s="538">
        <v>1</v>
      </c>
      <c r="G67" s="538">
        <v>1.1763141620284476</v>
      </c>
      <c r="H67" s="538">
        <v>0.90771490414347544</v>
      </c>
      <c r="I67" s="538">
        <v>0.92368583797155213</v>
      </c>
      <c r="J67" s="74"/>
      <c r="K67" s="74"/>
      <c r="L67" s="74"/>
      <c r="M67" s="74"/>
    </row>
    <row r="68" spans="1:13" x14ac:dyDescent="0.25">
      <c r="A68" s="659"/>
      <c r="B68" s="542"/>
      <c r="C68" s="92" t="s">
        <v>1522</v>
      </c>
      <c r="D68" s="92"/>
      <c r="E68" s="538">
        <v>0.68577938052877929</v>
      </c>
      <c r="F68" s="538">
        <v>1</v>
      </c>
      <c r="G68" s="538">
        <v>1.020163256535358</v>
      </c>
      <c r="H68" s="538">
        <v>1.0169372456864847</v>
      </c>
      <c r="I68" s="538">
        <v>0.78344679010543083</v>
      </c>
      <c r="J68" s="74"/>
      <c r="K68" s="74"/>
      <c r="L68" s="74"/>
      <c r="M68" s="74"/>
    </row>
    <row r="69" spans="1:13" x14ac:dyDescent="0.25">
      <c r="A69" s="659"/>
      <c r="B69" s="658" t="s">
        <v>286</v>
      </c>
      <c r="C69" s="55" t="s">
        <v>110</v>
      </c>
      <c r="D69" s="91">
        <v>1</v>
      </c>
      <c r="E69" s="39">
        <f>$D69+$D69*SSP_parameters_assumptions!E73</f>
        <v>0.5</v>
      </c>
      <c r="F69" s="39">
        <f>$D69+$D69*SSP_parameters_assumptions!F73</f>
        <v>1</v>
      </c>
      <c r="G69" s="39">
        <f>$D69+$D69*SSP_parameters_assumptions!G73</f>
        <v>1.5</v>
      </c>
      <c r="H69" s="39">
        <f>$D69+$D69*SSP_parameters_assumptions!H73</f>
        <v>0.75</v>
      </c>
      <c r="I69" s="39">
        <f>$D69+$D69*SSP_parameters_assumptions!I73</f>
        <v>0.8</v>
      </c>
      <c r="J69" s="507"/>
      <c r="K69" s="507"/>
      <c r="L69" s="507"/>
      <c r="M69" s="507"/>
    </row>
    <row r="70" spans="1:13" x14ac:dyDescent="0.25">
      <c r="A70" s="659"/>
      <c r="B70" s="658"/>
      <c r="C70" s="91" t="s">
        <v>116</v>
      </c>
      <c r="D70" s="543">
        <v>1</v>
      </c>
      <c r="E70" s="39">
        <f>$D70+$D70*SSP_parameters_assumptions!E76</f>
        <v>0.9</v>
      </c>
      <c r="F70" s="39">
        <f>$D70+$D70*SSP_parameters_assumptions!F76</f>
        <v>1</v>
      </c>
      <c r="G70" s="39">
        <f>$D70+$D70*SSP_parameters_assumptions!G76</f>
        <v>1.05</v>
      </c>
      <c r="H70" s="39">
        <f>$D70+$D70*SSP_parameters_assumptions!H76</f>
        <v>0.95</v>
      </c>
      <c r="I70" s="39">
        <f>$D70+$D70*SSP_parameters_assumptions!I76</f>
        <v>1.1000000000000001</v>
      </c>
      <c r="J70" s="507"/>
      <c r="K70" s="507"/>
      <c r="L70" s="507"/>
      <c r="M70" s="507"/>
    </row>
    <row r="71" spans="1:13" x14ac:dyDescent="0.25">
      <c r="A71" s="659"/>
      <c r="B71" s="658"/>
      <c r="C71" s="91" t="s">
        <v>120</v>
      </c>
      <c r="D71" s="91">
        <v>1672.6</v>
      </c>
      <c r="E71" s="39">
        <f>$D71+$D71*SSP_parameters_assumptions!E77</f>
        <v>1505.34</v>
      </c>
      <c r="F71" s="39">
        <f>$D71+$D71*SSP_parameters_assumptions!F77</f>
        <v>1672.6</v>
      </c>
      <c r="G71" s="550">
        <v>1350</v>
      </c>
      <c r="H71" s="39">
        <f>$D71+$D71*SSP_parameters_assumptions!H77</f>
        <v>1756.23</v>
      </c>
      <c r="I71" s="550">
        <v>2500</v>
      </c>
      <c r="J71" s="507"/>
      <c r="K71" s="507"/>
      <c r="L71" s="507"/>
      <c r="M71" s="507"/>
    </row>
    <row r="72" spans="1:13" x14ac:dyDescent="0.25">
      <c r="A72" s="659"/>
      <c r="B72" s="658" t="s">
        <v>287</v>
      </c>
      <c r="C72" s="91" t="s">
        <v>117</v>
      </c>
      <c r="D72" s="58">
        <v>0.01</v>
      </c>
      <c r="E72" s="39">
        <f>$D72+$D72*SSP_parameters_assumptions!E78</f>
        <v>5.0000000000000001E-3</v>
      </c>
      <c r="F72" s="39">
        <f>$D72+$D72*SSP_parameters_assumptions!F78</f>
        <v>0.01</v>
      </c>
      <c r="G72" s="550">
        <v>6.7000000000000002E-3</v>
      </c>
      <c r="H72" s="39">
        <f>$D72+$D72*SSP_parameters_assumptions!H78</f>
        <v>5.4999999999999997E-3</v>
      </c>
      <c r="I72" s="39">
        <f>$D72+$D72*SSP_parameters_assumptions!I78</f>
        <v>1.2500000000000001E-2</v>
      </c>
      <c r="J72" s="507"/>
      <c r="K72" s="507"/>
      <c r="L72" s="507"/>
      <c r="M72" s="507"/>
    </row>
    <row r="73" spans="1:13" x14ac:dyDescent="0.25">
      <c r="A73" s="659"/>
      <c r="B73" s="658"/>
      <c r="C73" s="546" t="s">
        <v>126</v>
      </c>
      <c r="D73" s="91">
        <v>1.2</v>
      </c>
      <c r="E73" s="39">
        <f>$D73+$D73*SSP_parameters_assumptions!E81</f>
        <v>1.5</v>
      </c>
      <c r="F73" s="39">
        <f>$D73+$D73*SSP_parameters_assumptions!F81</f>
        <v>1.2</v>
      </c>
      <c r="G73" s="39">
        <f>$D73+$D73*SSP_parameters_assumptions!G81</f>
        <v>1.08</v>
      </c>
      <c r="H73" s="39">
        <f>$D73+$D73*SSP_parameters_assumptions!H81</f>
        <v>1.44</v>
      </c>
      <c r="I73" s="39">
        <f>$D73+$D73*SSP_parameters_assumptions!I81</f>
        <v>1.08</v>
      </c>
      <c r="J73" s="507"/>
      <c r="K73" s="507"/>
      <c r="L73" s="507"/>
      <c r="M73" s="507"/>
    </row>
    <row r="74" spans="1:13" x14ac:dyDescent="0.25">
      <c r="A74" s="659"/>
      <c r="B74" s="658"/>
      <c r="C74" s="365" t="s">
        <v>134</v>
      </c>
      <c r="D74" s="365">
        <v>0</v>
      </c>
      <c r="E74" s="66">
        <v>4</v>
      </c>
      <c r="F74" s="56">
        <v>1</v>
      </c>
      <c r="G74" s="56">
        <v>0</v>
      </c>
      <c r="H74" s="56">
        <v>1</v>
      </c>
      <c r="I74" s="56">
        <v>2</v>
      </c>
    </row>
    <row r="75" spans="1:13" x14ac:dyDescent="0.25">
      <c r="A75" s="556"/>
      <c r="B75" s="556"/>
    </row>
    <row r="76" spans="1:13" x14ac:dyDescent="0.25">
      <c r="A76" s="556"/>
      <c r="B76" s="556"/>
    </row>
    <row r="77" spans="1:13" x14ac:dyDescent="0.25">
      <c r="A77" s="556"/>
      <c r="B77" s="556"/>
    </row>
  </sheetData>
  <mergeCells count="36">
    <mergeCell ref="L16:M16"/>
    <mergeCell ref="B19:B21"/>
    <mergeCell ref="J19:K19"/>
    <mergeCell ref="L19:M19"/>
    <mergeCell ref="A22:A28"/>
    <mergeCell ref="B22:B28"/>
    <mergeCell ref="J22:K22"/>
    <mergeCell ref="L22:M22"/>
    <mergeCell ref="A3:A21"/>
    <mergeCell ref="B3:B6"/>
    <mergeCell ref="J3:K3"/>
    <mergeCell ref="L3:M3"/>
    <mergeCell ref="B7:B15"/>
    <mergeCell ref="J7:K7"/>
    <mergeCell ref="L7:M7"/>
    <mergeCell ref="B16:B18"/>
    <mergeCell ref="J16:K16"/>
    <mergeCell ref="A29:A38"/>
    <mergeCell ref="B29:B34"/>
    <mergeCell ref="B35:B38"/>
    <mergeCell ref="A39:A50"/>
    <mergeCell ref="B39:B46"/>
    <mergeCell ref="B47:B50"/>
    <mergeCell ref="A51:A59"/>
    <mergeCell ref="B51:B55"/>
    <mergeCell ref="B56:B59"/>
    <mergeCell ref="A60:A66"/>
    <mergeCell ref="B60:B62"/>
    <mergeCell ref="L60:M60"/>
    <mergeCell ref="B63:B66"/>
    <mergeCell ref="J63:K63"/>
    <mergeCell ref="L63:M63"/>
    <mergeCell ref="A67:A74"/>
    <mergeCell ref="B69:B71"/>
    <mergeCell ref="B72:B74"/>
    <mergeCell ref="J60:K60"/>
  </mergeCells>
  <pageMargins left="0.7" right="0.7" top="0.75" bottom="0.75" header="0.3" footer="0.3"/>
  <pageSetup paperSize="9"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zoomScale="80" zoomScaleNormal="80" workbookViewId="0">
      <pane xSplit="3" ySplit="1" topLeftCell="D25" activePane="bottomRight" state="frozen"/>
      <selection pane="topRight" activeCell="C1" sqref="C1"/>
      <selection pane="bottomLeft" activeCell="A2" sqref="A2"/>
      <selection pane="bottomRight" activeCell="H3" sqref="H3:H62"/>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355" customWidth="1"/>
    <col min="12" max="12" width="25.140625" style="355" customWidth="1"/>
    <col min="13" max="13" width="19.85546875" style="355" customWidth="1"/>
    <col min="14" max="16384" width="9" style="355"/>
  </cols>
  <sheetData>
    <row r="1" spans="1:13" s="558"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359"/>
      <c r="B2" s="359"/>
      <c r="C2" s="555" t="s">
        <v>158</v>
      </c>
      <c r="E2" s="559" t="s">
        <v>153</v>
      </c>
      <c r="F2" s="559" t="s">
        <v>153</v>
      </c>
      <c r="G2" s="559" t="s">
        <v>153</v>
      </c>
      <c r="H2" s="559" t="s">
        <v>153</v>
      </c>
      <c r="I2" s="559" t="s">
        <v>153</v>
      </c>
      <c r="J2" s="559" t="s">
        <v>1438</v>
      </c>
      <c r="K2" s="559" t="s">
        <v>1437</v>
      </c>
      <c r="L2" s="559" t="s">
        <v>1438</v>
      </c>
      <c r="M2" s="559" t="s">
        <v>1437</v>
      </c>
    </row>
    <row r="3" spans="1:13" x14ac:dyDescent="0.25">
      <c r="A3" s="659"/>
      <c r="B3" s="658"/>
      <c r="C3" s="51" t="s">
        <v>7</v>
      </c>
      <c r="D3" s="91">
        <v>0.51500000000000001</v>
      </c>
      <c r="E3" s="39">
        <v>0.38624999999999998</v>
      </c>
      <c r="F3" s="39">
        <v>0.46887200000000001</v>
      </c>
      <c r="G3" s="39">
        <v>0.53737000000000001</v>
      </c>
      <c r="H3" s="39">
        <v>0.56987500000000002</v>
      </c>
      <c r="I3" s="39">
        <v>0.38624999999999998</v>
      </c>
      <c r="J3" s="39"/>
      <c r="K3" s="39"/>
      <c r="L3" s="39"/>
      <c r="M3" s="39"/>
    </row>
    <row r="4" spans="1:13" x14ac:dyDescent="0.25">
      <c r="A4" s="659"/>
      <c r="B4" s="658"/>
      <c r="C4" s="91" t="s">
        <v>6</v>
      </c>
      <c r="D4" s="91">
        <v>12</v>
      </c>
      <c r="E4" s="39">
        <v>9.3894199999999994</v>
      </c>
      <c r="F4" s="39">
        <v>11.492900000000001</v>
      </c>
      <c r="G4" s="39">
        <v>15</v>
      </c>
      <c r="H4" s="39">
        <v>11.181800000000001</v>
      </c>
      <c r="I4" s="39">
        <v>10.757199999999999</v>
      </c>
      <c r="J4" s="39"/>
      <c r="K4" s="39"/>
      <c r="L4" s="39"/>
      <c r="M4" s="39"/>
    </row>
    <row r="5" spans="1:13" x14ac:dyDescent="0.25">
      <c r="A5" s="659"/>
      <c r="B5" s="658"/>
      <c r="C5" s="91" t="s">
        <v>5</v>
      </c>
      <c r="D5" s="91">
        <v>28</v>
      </c>
      <c r="E5" s="39">
        <v>28.935600000000001</v>
      </c>
      <c r="F5" s="39">
        <v>27.105799999999999</v>
      </c>
      <c r="G5" s="39">
        <v>22.505299999999998</v>
      </c>
      <c r="H5" s="39">
        <v>25.923200000000001</v>
      </c>
      <c r="I5" s="39">
        <v>28.114000000000001</v>
      </c>
      <c r="J5" s="39"/>
      <c r="K5" s="39"/>
      <c r="L5" s="39"/>
      <c r="M5" s="39"/>
    </row>
    <row r="6" spans="1:13" s="358" customFormat="1" x14ac:dyDescent="0.25">
      <c r="A6" s="659"/>
      <c r="B6" s="659"/>
      <c r="C6" s="91" t="s">
        <v>33</v>
      </c>
      <c r="D6" s="553">
        <v>0</v>
      </c>
      <c r="E6" s="362">
        <v>-8.4299400000000003E-3</v>
      </c>
      <c r="F6" s="362">
        <v>-8.4708500000000003E-3</v>
      </c>
      <c r="G6" s="362">
        <v>3.4964000000000002E-3</v>
      </c>
      <c r="H6" s="362">
        <v>3.4978600000000002E-3</v>
      </c>
      <c r="I6" s="362">
        <v>-8.5000000000000006E-3</v>
      </c>
      <c r="J6" s="39"/>
      <c r="K6" s="39"/>
      <c r="L6" s="39"/>
      <c r="M6" s="39"/>
    </row>
    <row r="7" spans="1:13" s="358" customFormat="1" x14ac:dyDescent="0.25">
      <c r="A7" s="659"/>
      <c r="B7" s="659"/>
      <c r="C7" s="91" t="s">
        <v>34</v>
      </c>
      <c r="D7" s="553">
        <v>0</v>
      </c>
      <c r="E7" s="362">
        <v>-8.4945999999999997E-3</v>
      </c>
      <c r="F7" s="362">
        <v>-8.4963999999999994E-3</v>
      </c>
      <c r="G7" s="362">
        <v>3.4964000000000002E-3</v>
      </c>
      <c r="H7" s="362">
        <v>3.5000000000000001E-3</v>
      </c>
      <c r="I7" s="362">
        <v>-8.5000000000000006E-3</v>
      </c>
      <c r="J7" s="39"/>
      <c r="K7" s="39"/>
      <c r="L7" s="39"/>
      <c r="M7" s="39"/>
    </row>
    <row r="8" spans="1:13" s="358" customFormat="1" x14ac:dyDescent="0.25">
      <c r="A8" s="659"/>
      <c r="B8" s="659"/>
      <c r="C8" s="91" t="s">
        <v>35</v>
      </c>
      <c r="D8" s="553">
        <v>0.01</v>
      </c>
      <c r="E8" s="362">
        <v>8.2838900000000004E-3</v>
      </c>
      <c r="F8" s="553">
        <v>1.79196E-3</v>
      </c>
      <c r="G8" s="362">
        <v>-3.8629599999999999E-3</v>
      </c>
      <c r="H8" s="362">
        <v>-2.8030199999999998E-3</v>
      </c>
      <c r="I8" s="362">
        <v>0.01</v>
      </c>
      <c r="J8" s="39"/>
      <c r="K8" s="39"/>
      <c r="L8" s="39"/>
      <c r="M8" s="39"/>
    </row>
    <row r="9" spans="1:13" x14ac:dyDescent="0.25">
      <c r="A9" s="659"/>
      <c r="B9" s="659"/>
      <c r="C9" s="91" t="s">
        <v>36</v>
      </c>
      <c r="D9" s="553">
        <v>5.0000000000000001E-3</v>
      </c>
      <c r="E9" s="362">
        <v>3.8922399999999999E-3</v>
      </c>
      <c r="F9" s="553">
        <v>4.8892700000000002E-3</v>
      </c>
      <c r="G9" s="362">
        <v>-4.3786500000000004E-3</v>
      </c>
      <c r="H9" s="362">
        <v>-3.3459700000000002E-3</v>
      </c>
      <c r="I9" s="362">
        <v>4.98235E-3</v>
      </c>
      <c r="J9" s="39"/>
      <c r="K9" s="39"/>
      <c r="L9" s="39"/>
      <c r="M9" s="39"/>
    </row>
    <row r="10" spans="1:13" s="358" customFormat="1" x14ac:dyDescent="0.25">
      <c r="A10" s="659"/>
      <c r="B10" s="659"/>
      <c r="C10" s="91" t="s">
        <v>1534</v>
      </c>
      <c r="D10" s="553">
        <v>0.6</v>
      </c>
      <c r="E10" s="362">
        <v>0.60223800000000005</v>
      </c>
      <c r="F10" s="553">
        <v>0.65551800000000005</v>
      </c>
      <c r="G10" s="362">
        <v>0.464532</v>
      </c>
      <c r="H10" s="362">
        <v>0.42388199999999998</v>
      </c>
      <c r="I10" s="362">
        <v>0.59101199999999998</v>
      </c>
      <c r="J10" s="39"/>
      <c r="K10" s="39"/>
      <c r="L10" s="39"/>
      <c r="M10" s="39"/>
    </row>
    <row r="11" spans="1:13" x14ac:dyDescent="0.25">
      <c r="A11" s="659"/>
      <c r="B11" s="659"/>
      <c r="C11" s="91" t="s">
        <v>37</v>
      </c>
      <c r="D11" s="553">
        <v>0</v>
      </c>
      <c r="E11" s="362">
        <v>7.0000000000000001E-3</v>
      </c>
      <c r="F11" s="362">
        <v>7.0000000000000001E-3</v>
      </c>
      <c r="G11" s="362">
        <v>-8.82429E-4</v>
      </c>
      <c r="H11" s="362">
        <v>7.0000000000000001E-3</v>
      </c>
      <c r="I11" s="362">
        <v>7.0000000000000001E-3</v>
      </c>
      <c r="J11" s="39"/>
      <c r="K11" s="39"/>
      <c r="L11" s="39"/>
      <c r="M11" s="39"/>
    </row>
    <row r="12" spans="1:13" x14ac:dyDescent="0.25">
      <c r="A12" s="659"/>
      <c r="B12" s="659"/>
      <c r="C12" s="91" t="s">
        <v>38</v>
      </c>
      <c r="D12" s="553">
        <v>0</v>
      </c>
      <c r="E12" s="362">
        <v>5.0000000000000001E-3</v>
      </c>
      <c r="F12" s="362">
        <v>2.4827400000000002E-3</v>
      </c>
      <c r="G12" s="362">
        <v>-1E-3</v>
      </c>
      <c r="H12" s="362">
        <v>3.8262399999999998E-3</v>
      </c>
      <c r="I12" s="362">
        <v>5.0000000000000001E-3</v>
      </c>
      <c r="J12" s="39"/>
      <c r="K12" s="39"/>
      <c r="L12" s="39"/>
      <c r="M12" s="39"/>
    </row>
    <row r="13" spans="1:13" s="358" customFormat="1" x14ac:dyDescent="0.25">
      <c r="A13" s="659"/>
      <c r="B13" s="659"/>
      <c r="C13" s="91" t="s">
        <v>1533</v>
      </c>
      <c r="D13" s="553">
        <v>0.77</v>
      </c>
      <c r="E13" s="362">
        <v>0.79222000000000004</v>
      </c>
      <c r="F13" s="362">
        <v>0.50268699999999999</v>
      </c>
      <c r="G13" s="362">
        <v>0.38500000000000001</v>
      </c>
      <c r="H13" s="362">
        <v>0.38500000000000001</v>
      </c>
      <c r="I13" s="362">
        <v>0.81733199999999995</v>
      </c>
      <c r="J13" s="39"/>
      <c r="K13" s="39"/>
      <c r="L13" s="39"/>
      <c r="M13" s="39"/>
    </row>
    <row r="14" spans="1:13" s="358" customFormat="1" x14ac:dyDescent="0.25">
      <c r="A14" s="659"/>
      <c r="B14" s="658"/>
      <c r="C14" s="91" t="s">
        <v>39</v>
      </c>
      <c r="D14" s="91">
        <v>0.42499999999999999</v>
      </c>
      <c r="E14" s="39">
        <v>0.47792200000000001</v>
      </c>
      <c r="F14" s="39">
        <v>0.44716499999999998</v>
      </c>
      <c r="G14" s="39">
        <v>0.32067899999999999</v>
      </c>
      <c r="H14" s="39">
        <v>0.35711199999999999</v>
      </c>
      <c r="I14" s="39">
        <v>0.55308400000000002</v>
      </c>
      <c r="J14" s="535"/>
      <c r="K14" s="39"/>
      <c r="L14" s="39"/>
      <c r="M14" s="39"/>
    </row>
    <row r="15" spans="1:13" s="358" customFormat="1" x14ac:dyDescent="0.25">
      <c r="A15" s="659"/>
      <c r="B15" s="658"/>
      <c r="C15" s="91" t="s">
        <v>40</v>
      </c>
      <c r="D15" s="91">
        <v>0.75</v>
      </c>
      <c r="E15" s="39">
        <v>0.81459199999999998</v>
      </c>
      <c r="F15" s="39">
        <v>0.72691600000000001</v>
      </c>
      <c r="G15" s="39">
        <v>0.70688700000000004</v>
      </c>
      <c r="H15" s="39">
        <v>0.93744499999999997</v>
      </c>
      <c r="I15" s="39">
        <v>0.920655</v>
      </c>
      <c r="J15" s="39"/>
      <c r="K15" s="39"/>
      <c r="L15" s="39"/>
      <c r="M15" s="39"/>
    </row>
    <row r="16" spans="1:13" s="358" customFormat="1" x14ac:dyDescent="0.25">
      <c r="A16" s="659"/>
      <c r="B16" s="658"/>
      <c r="C16" s="89" t="s">
        <v>97</v>
      </c>
      <c r="D16" s="89">
        <v>1.25</v>
      </c>
      <c r="E16" s="39">
        <f>$D16+$D16*SSP_parameters_assumptions!E22</f>
        <v>1.125</v>
      </c>
      <c r="F16" s="39">
        <f>$D16+$D16*SSP_parameters_assumptions!F22</f>
        <v>1.25</v>
      </c>
      <c r="G16" s="39">
        <f>$D16+$D16*SSP_parameters_assumptions!G22</f>
        <v>0.9375</v>
      </c>
      <c r="H16" s="39">
        <f>$D16+$D16*SSP_parameters_assumptions!H22</f>
        <v>1.3125</v>
      </c>
      <c r="I16" s="39">
        <f>$D16+$D16*SSP_parameters_assumptions!I22</f>
        <v>1.875</v>
      </c>
      <c r="J16" s="39"/>
      <c r="K16" s="39"/>
      <c r="L16" s="39"/>
      <c r="M16" s="39"/>
    </row>
    <row r="17" spans="1:13" x14ac:dyDescent="0.25">
      <c r="A17" s="659"/>
      <c r="B17" s="658"/>
      <c r="C17" s="50" t="s">
        <v>98</v>
      </c>
      <c r="D17" s="89">
        <v>5</v>
      </c>
      <c r="E17" s="39">
        <f>$D17+$D17*SSP_parameters_assumptions!E23</f>
        <v>5.5</v>
      </c>
      <c r="F17" s="39">
        <f>$D17+$D17*SSP_parameters_assumptions!F23</f>
        <v>5</v>
      </c>
      <c r="G17" s="39">
        <f>$D17+$D17*SSP_parameters_assumptions!G23</f>
        <v>6.25</v>
      </c>
      <c r="H17" s="39">
        <f>$D17+$D17*SSP_parameters_assumptions!H23</f>
        <v>4.75</v>
      </c>
      <c r="I17" s="39">
        <f>$D17+$D17*SSP_parameters_assumptions!I23</f>
        <v>2.5</v>
      </c>
      <c r="J17" s="39"/>
      <c r="K17" s="39"/>
      <c r="L17" s="39"/>
      <c r="M17" s="39"/>
    </row>
    <row r="18" spans="1:13" x14ac:dyDescent="0.25">
      <c r="A18" s="659" t="s">
        <v>144</v>
      </c>
      <c r="B18" s="658" t="s">
        <v>393</v>
      </c>
      <c r="C18" s="89" t="s">
        <v>44</v>
      </c>
      <c r="D18" s="89">
        <v>1.9999999999999999E-6</v>
      </c>
      <c r="E18" s="39">
        <f>$D18+$D18*SSP_parameters_assumptions!E31</f>
        <v>1.3999999999999999E-6</v>
      </c>
      <c r="F18" s="39">
        <f>$D18+$D18*SSP_parameters_assumptions!F31</f>
        <v>1.9999999999999999E-6</v>
      </c>
      <c r="G18" s="39">
        <f>$D18+$D18*SSP_parameters_assumptions!G31</f>
        <v>1.9E-6</v>
      </c>
      <c r="H18" s="39">
        <f>$D18+$D18*SSP_parameters_assumptions!H31</f>
        <v>1.84E-6</v>
      </c>
      <c r="I18" s="551">
        <v>3.1999999999999999E-6</v>
      </c>
      <c r="J18" s="38"/>
      <c r="K18" s="38"/>
      <c r="L18" s="38"/>
      <c r="M18" s="38"/>
    </row>
    <row r="19" spans="1:13" x14ac:dyDescent="0.25">
      <c r="A19" s="659"/>
      <c r="B19" s="658"/>
      <c r="C19" s="91" t="s">
        <v>45</v>
      </c>
      <c r="D19" s="91">
        <v>0.6</v>
      </c>
      <c r="E19" s="39">
        <f>$D19+$D19*SSP_parameters_assumptions!E32</f>
        <v>0.44999999999999996</v>
      </c>
      <c r="F19" s="39">
        <f>$D19+$D19*SSP_parameters_assumptions!F32</f>
        <v>0.6</v>
      </c>
      <c r="G19" s="550">
        <v>1</v>
      </c>
      <c r="H19" s="39">
        <f>$D19+$D19*SSP_parameters_assumptions!H32</f>
        <v>0.78</v>
      </c>
      <c r="I19" s="39">
        <f>$D19+$D19*SSP_parameters_assumptions!I32</f>
        <v>0.63</v>
      </c>
      <c r="J19" s="38"/>
      <c r="K19" s="38"/>
      <c r="L19" s="38"/>
      <c r="M19" s="38"/>
    </row>
    <row r="20" spans="1:13" x14ac:dyDescent="0.25">
      <c r="A20" s="659"/>
      <c r="B20" s="658"/>
      <c r="C20" s="91" t="s">
        <v>46</v>
      </c>
      <c r="D20" s="91">
        <v>0.54</v>
      </c>
      <c r="E20" s="39">
        <f>$D20+$D20*SSP_parameters_assumptions!E33</f>
        <v>0.94500000000000006</v>
      </c>
      <c r="F20" s="39">
        <f>$D20+$D20*SSP_parameters_assumptions!F33</f>
        <v>0.54</v>
      </c>
      <c r="G20" s="550">
        <v>0.63749999999999996</v>
      </c>
      <c r="H20" s="39">
        <f>$D20+$D20*SSP_parameters_assumptions!H33</f>
        <v>0.70200000000000007</v>
      </c>
      <c r="I20" s="39">
        <f>$D20+$D20*SSP_parameters_assumptions!I33</f>
        <v>0.64800000000000002</v>
      </c>
      <c r="J20" s="38"/>
      <c r="K20" s="38"/>
      <c r="L20" s="38"/>
      <c r="M20" s="38"/>
    </row>
    <row r="21" spans="1:13" x14ac:dyDescent="0.25">
      <c r="A21" s="659"/>
      <c r="B21" s="658"/>
      <c r="C21" s="91" t="s">
        <v>47</v>
      </c>
      <c r="D21" s="91">
        <v>0.89</v>
      </c>
      <c r="E21" s="39">
        <f>$D21+$D21*SSP_parameters_assumptions!E34</f>
        <v>0.80100000000000005</v>
      </c>
      <c r="F21" s="39">
        <f>$D21+$D21*SSP_parameters_assumptions!F34</f>
        <v>0.89</v>
      </c>
      <c r="G21" s="550">
        <v>1.25</v>
      </c>
      <c r="H21" s="39">
        <f>$D21+$D21*SSP_parameters_assumptions!H34</f>
        <v>0.84550000000000003</v>
      </c>
      <c r="I21" s="39">
        <f>$D21+$D21*SSP_parameters_assumptions!I34</f>
        <v>1.1125</v>
      </c>
      <c r="J21" s="38"/>
      <c r="K21" s="38"/>
      <c r="L21" s="38"/>
      <c r="M21" s="38"/>
    </row>
    <row r="22" spans="1:13" x14ac:dyDescent="0.25">
      <c r="A22" s="659"/>
      <c r="B22" s="658"/>
      <c r="C22" s="91" t="s">
        <v>48</v>
      </c>
      <c r="D22" s="91">
        <v>1</v>
      </c>
      <c r="E22" s="39">
        <f>$D22+$D22*SSP_parameters_assumptions!E35</f>
        <v>1.25</v>
      </c>
      <c r="F22" s="39">
        <f>$D22+$D22*SSP_parameters_assumptions!F35</f>
        <v>1</v>
      </c>
      <c r="G22" s="39">
        <f>$D22+$D22*SSP_parameters_assumptions!G35</f>
        <v>0.5</v>
      </c>
      <c r="H22" s="39">
        <f>$D22+$D22*SSP_parameters_assumptions!H35</f>
        <v>0.8</v>
      </c>
      <c r="I22" s="39">
        <f>$D22+$D22*SSP_parameters_assumptions!I35</f>
        <v>1</v>
      </c>
      <c r="J22" s="38"/>
      <c r="K22" s="38"/>
      <c r="L22" s="38"/>
      <c r="M22" s="38"/>
    </row>
    <row r="23" spans="1:13" x14ac:dyDescent="0.25">
      <c r="A23" s="659"/>
      <c r="B23" s="658"/>
      <c r="C23" s="91" t="s">
        <v>49</v>
      </c>
      <c r="D23" s="91">
        <v>0.8</v>
      </c>
      <c r="E23" s="39">
        <f>$D23+$D23*SSP_parameters_assumptions!E36</f>
        <v>0.8</v>
      </c>
      <c r="F23" s="39">
        <f>$D23+$D23*SSP_parameters_assumptions!F36</f>
        <v>0.8</v>
      </c>
      <c r="G23" s="39">
        <f>$D23+$D23*SSP_parameters_assumptions!G36</f>
        <v>1.2000000000000002</v>
      </c>
      <c r="H23" s="39">
        <f>$D23+$D23*SSP_parameters_assumptions!H36</f>
        <v>0.96000000000000008</v>
      </c>
      <c r="I23" s="39">
        <f>$D23+$D23*SSP_parameters_assumptions!I36</f>
        <v>0.84000000000000008</v>
      </c>
      <c r="J23" s="38"/>
      <c r="K23" s="38"/>
      <c r="L23" s="38"/>
      <c r="M23" s="38"/>
    </row>
    <row r="24" spans="1:13" x14ac:dyDescent="0.25">
      <c r="A24" s="659"/>
      <c r="B24" s="658" t="s">
        <v>394</v>
      </c>
      <c r="C24" s="91" t="s">
        <v>50</v>
      </c>
      <c r="D24" s="91">
        <v>1</v>
      </c>
      <c r="E24" s="39">
        <f>$D24+$D24*SSP_parameters_assumptions!E37</f>
        <v>0.9</v>
      </c>
      <c r="F24" s="39">
        <f>$D24+$D24*SSP_parameters_assumptions!F37</f>
        <v>1</v>
      </c>
      <c r="G24" s="39">
        <f>$D24+$D24*SSP_parameters_assumptions!G37</f>
        <v>1.1000000000000001</v>
      </c>
      <c r="H24" s="39">
        <f>$D24+$D24*SSP_parameters_assumptions!H37</f>
        <v>1.25</v>
      </c>
      <c r="I24" s="39">
        <f>$D24+$D24*SSP_parameters_assumptions!I37</f>
        <v>1.3</v>
      </c>
      <c r="J24" s="38"/>
      <c r="K24" s="38"/>
      <c r="L24" s="38"/>
      <c r="M24" s="38"/>
    </row>
    <row r="25" spans="1:13" x14ac:dyDescent="0.25">
      <c r="A25" s="659"/>
      <c r="B25" s="658"/>
      <c r="C25" s="55" t="s">
        <v>1492</v>
      </c>
      <c r="D25" s="91">
        <v>8</v>
      </c>
      <c r="E25" s="39">
        <f>$D25+$D25*SSP_parameters_assumptions!E38</f>
        <v>26</v>
      </c>
      <c r="F25" s="39">
        <f>$D25+$D25*SSP_parameters_assumptions!F38</f>
        <v>8</v>
      </c>
      <c r="G25" s="550">
        <v>1</v>
      </c>
      <c r="H25" s="39">
        <f>$D25+$D25*SSP_parameters_assumptions!H38</f>
        <v>12</v>
      </c>
      <c r="I25" s="39">
        <f>$D25+$D25*SSP_parameters_assumptions!I38</f>
        <v>9.6</v>
      </c>
      <c r="J25" s="38"/>
      <c r="K25" s="38"/>
      <c r="L25" s="38"/>
      <c r="M25" s="38"/>
    </row>
    <row r="26" spans="1:13" x14ac:dyDescent="0.25">
      <c r="A26" s="659"/>
      <c r="B26" s="658"/>
      <c r="C26" s="55" t="s">
        <v>1493</v>
      </c>
      <c r="D26" s="91">
        <v>6</v>
      </c>
      <c r="E26" s="39">
        <f>$D26+$D26*SSP_parameters_assumptions!E39</f>
        <v>9</v>
      </c>
      <c r="F26" s="39">
        <f>$D26+$D26*SSP_parameters_assumptions!F39</f>
        <v>6</v>
      </c>
      <c r="G26" s="550">
        <v>1</v>
      </c>
      <c r="H26" s="39">
        <f>$D26+$D26*SSP_parameters_assumptions!H39</f>
        <v>6</v>
      </c>
      <c r="I26" s="39">
        <f>$D26+$D26*SSP_parameters_assumptions!I39</f>
        <v>5.7</v>
      </c>
      <c r="J26" s="38"/>
      <c r="K26" s="38"/>
      <c r="L26" s="38"/>
      <c r="M26" s="38"/>
    </row>
    <row r="27" spans="1:13" s="358" customFormat="1" x14ac:dyDescent="0.25">
      <c r="A27" s="659"/>
      <c r="B27" s="658"/>
      <c r="C27" s="55" t="s">
        <v>1494</v>
      </c>
      <c r="D27" s="91">
        <v>3.25</v>
      </c>
      <c r="E27" s="39">
        <f>$D27+$D27*SSP_parameters_assumptions!E40</f>
        <v>11.375</v>
      </c>
      <c r="F27" s="39">
        <f>$D27+$D27*SSP_parameters_assumptions!F40</f>
        <v>3.25</v>
      </c>
      <c r="G27" s="39">
        <f>$D27+$D27*SSP_parameters_assumptions!G40</f>
        <v>13</v>
      </c>
      <c r="H27" s="39">
        <f>$D27+$D27*SSP_parameters_assumptions!H40</f>
        <v>8.125</v>
      </c>
      <c r="I27" s="39">
        <f>$D27+$D27*SSP_parameters_assumptions!I40</f>
        <v>4.0625</v>
      </c>
      <c r="J27" s="507"/>
      <c r="K27" s="507"/>
      <c r="L27" s="507"/>
      <c r="M27" s="507"/>
    </row>
    <row r="28" spans="1:13" s="358" customFormat="1" x14ac:dyDescent="0.25">
      <c r="A28" s="659" t="s">
        <v>1511</v>
      </c>
      <c r="B28" s="659" t="s">
        <v>1508</v>
      </c>
      <c r="C28" s="563" t="s">
        <v>84</v>
      </c>
      <c r="D28" s="564">
        <v>10</v>
      </c>
      <c r="E28" s="39">
        <f>$D28+$D28*SSP_parameters_assumptions!E41</f>
        <v>10</v>
      </c>
      <c r="F28" s="39">
        <f>$D28+$D28*SSP_parameters_assumptions!F41</f>
        <v>10</v>
      </c>
      <c r="G28" s="39">
        <f>$D28+$D28*SSP_parameters_assumptions!G41</f>
        <v>10</v>
      </c>
      <c r="H28" s="39">
        <f>$D28+$D28*SSP_parameters_assumptions!H41</f>
        <v>10</v>
      </c>
      <c r="I28" s="39">
        <f>$D28+$D28*SSP_parameters_assumptions!I41</f>
        <v>10</v>
      </c>
      <c r="J28" s="507"/>
      <c r="K28" s="507"/>
      <c r="L28" s="507"/>
      <c r="M28" s="507"/>
    </row>
    <row r="29" spans="1:13" s="358" customFormat="1" ht="14.25" customHeight="1" x14ac:dyDescent="0.25">
      <c r="A29" s="659"/>
      <c r="B29" s="659"/>
      <c r="C29" s="55" t="s">
        <v>70</v>
      </c>
      <c r="D29" s="91">
        <v>1</v>
      </c>
      <c r="E29" s="39">
        <f>$D29+$D29*SSP_parameters_assumptions!E42</f>
        <v>0.5</v>
      </c>
      <c r="F29" s="39">
        <f>$D29+$D29*SSP_parameters_assumptions!F42</f>
        <v>1</v>
      </c>
      <c r="G29" s="39">
        <f>$D29+$D29*SSP_parameters_assumptions!G42</f>
        <v>0.8</v>
      </c>
      <c r="H29" s="39">
        <f>$D29+$D29*SSP_parameters_assumptions!H42</f>
        <v>0.8</v>
      </c>
      <c r="I29" s="39">
        <f>$D29+$D29*SSP_parameters_assumptions!I42</f>
        <v>1.2</v>
      </c>
      <c r="J29" s="38"/>
      <c r="K29" s="38"/>
      <c r="L29" s="38"/>
      <c r="M29" s="38"/>
    </row>
    <row r="30" spans="1:13" s="358" customFormat="1" x14ac:dyDescent="0.25">
      <c r="A30" s="659"/>
      <c r="B30" s="659"/>
      <c r="C30" s="55" t="s">
        <v>74</v>
      </c>
      <c r="D30" s="91">
        <v>1.25</v>
      </c>
      <c r="E30" s="39">
        <f>$D30+$D30*SSP_parameters_assumptions!E43</f>
        <v>0.9375</v>
      </c>
      <c r="F30" s="39">
        <f>$D30+$D30*SSP_parameters_assumptions!F43</f>
        <v>1.25</v>
      </c>
      <c r="G30" s="39">
        <f>$D30+$D30*SSP_parameters_assumptions!G43</f>
        <v>1.4375</v>
      </c>
      <c r="H30" s="39">
        <f>$D30+$D30*SSP_parameters_assumptions!H43</f>
        <v>1.0625</v>
      </c>
      <c r="I30" s="39">
        <f>$D30+$D30*SSP_parameters_assumptions!I43</f>
        <v>1.875</v>
      </c>
      <c r="J30" s="38"/>
      <c r="K30" s="38"/>
      <c r="L30" s="38"/>
      <c r="M30" s="38"/>
    </row>
    <row r="31" spans="1:13" s="358" customFormat="1" x14ac:dyDescent="0.25">
      <c r="A31" s="659"/>
      <c r="B31" s="659"/>
      <c r="C31" s="564" t="s">
        <v>78</v>
      </c>
      <c r="D31" s="91">
        <v>0.15</v>
      </c>
      <c r="E31" s="39">
        <f>$D31+$D31*SSP_parameters_assumptions!E43</f>
        <v>0.11249999999999999</v>
      </c>
      <c r="F31" s="39">
        <f>$D31+$D31*SSP_parameters_assumptions!F43</f>
        <v>0.15</v>
      </c>
      <c r="G31" s="39">
        <f>$D31+$D31*SSP_parameters_assumptions!G43</f>
        <v>0.17249999999999999</v>
      </c>
      <c r="H31" s="39">
        <f>$D31+$D31*SSP_parameters_assumptions!H43</f>
        <v>0.1275</v>
      </c>
      <c r="I31" s="39">
        <f>$D31+$D31*SSP_parameters_assumptions!I43</f>
        <v>0.22499999999999998</v>
      </c>
      <c r="J31" s="507"/>
      <c r="K31" s="507"/>
      <c r="L31" s="507"/>
      <c r="M31" s="507"/>
    </row>
    <row r="32" spans="1:13" s="358" customFormat="1" x14ac:dyDescent="0.25">
      <c r="A32" s="659"/>
      <c r="B32" s="659"/>
      <c r="C32" s="89" t="s">
        <v>73</v>
      </c>
      <c r="D32" s="91">
        <v>2.8E-11</v>
      </c>
      <c r="E32" s="39">
        <f>$D32+$D32*SSP_parameters_assumptions!E45</f>
        <v>1.4E-11</v>
      </c>
      <c r="F32" s="39">
        <f>$D32+$D32*SSP_parameters_assumptions!F45</f>
        <v>2.8E-11</v>
      </c>
      <c r="G32" s="39">
        <f>$D32+$D32*SSP_parameters_assumptions!G45</f>
        <v>2.2400000000000001E-11</v>
      </c>
      <c r="H32" s="39">
        <f>$D32+$D32*SSP_parameters_assumptions!H45</f>
        <v>2.2400000000000001E-11</v>
      </c>
      <c r="I32" s="39">
        <f>$D32+$D32*SSP_parameters_assumptions!I45</f>
        <v>3.3599999999999999E-11</v>
      </c>
      <c r="J32" s="507"/>
      <c r="K32" s="507"/>
      <c r="L32" s="507"/>
      <c r="M32" s="507"/>
    </row>
    <row r="33" spans="1:13" s="358" customFormat="1" x14ac:dyDescent="0.25">
      <c r="A33" s="659"/>
      <c r="B33" s="659"/>
      <c r="C33" s="89" t="s">
        <v>77</v>
      </c>
      <c r="D33" s="89">
        <v>3E-11</v>
      </c>
      <c r="E33" s="39">
        <f>$D33+$D33*SSP_parameters_assumptions!E46</f>
        <v>1.6500000000000001E-11</v>
      </c>
      <c r="F33" s="39">
        <f>$D33+$D33*SSP_parameters_assumptions!F46</f>
        <v>3E-11</v>
      </c>
      <c r="G33" s="39">
        <f>$D33+$D33*SSP_parameters_assumptions!G46</f>
        <v>1.9499999999999997E-11</v>
      </c>
      <c r="H33" s="39">
        <f>$D33+$D33*SSP_parameters_assumptions!H46</f>
        <v>1.5E-11</v>
      </c>
      <c r="I33" s="39">
        <f>$D33+$D33*SSP_parameters_assumptions!I46</f>
        <v>4.0500000000000002E-11</v>
      </c>
      <c r="J33" s="507"/>
      <c r="K33" s="507"/>
      <c r="L33" s="507"/>
      <c r="M33" s="507"/>
    </row>
    <row r="34" spans="1:13" s="358" customFormat="1" x14ac:dyDescent="0.25">
      <c r="A34" s="659"/>
      <c r="B34" s="659"/>
      <c r="C34" s="55" t="s">
        <v>81</v>
      </c>
      <c r="D34" s="89">
        <v>1.2999999999999999E-12</v>
      </c>
      <c r="E34" s="39">
        <f>$D34+$D34*SSP_parameters_assumptions!E47</f>
        <v>9.7499999999999999E-13</v>
      </c>
      <c r="F34" s="39">
        <f>$D34+$D34*SSP_parameters_assumptions!F47</f>
        <v>1.2999999999999999E-12</v>
      </c>
      <c r="G34" s="39">
        <f>$D34+$D34*SSP_parameters_assumptions!G47</f>
        <v>1.495E-12</v>
      </c>
      <c r="H34" s="39">
        <f>$D34+$D34*SSP_parameters_assumptions!H47</f>
        <v>1.1049999999999998E-12</v>
      </c>
      <c r="I34" s="39">
        <f>$D34+$D34*SSP_parameters_assumptions!I47</f>
        <v>1.95E-12</v>
      </c>
      <c r="J34" s="507"/>
      <c r="K34" s="507"/>
      <c r="L34" s="507"/>
      <c r="M34" s="507"/>
    </row>
    <row r="35" spans="1:13" s="358" customFormat="1" x14ac:dyDescent="0.25">
      <c r="A35" s="659"/>
      <c r="B35" s="659"/>
      <c r="C35" s="91" t="s">
        <v>56</v>
      </c>
      <c r="D35" s="89">
        <v>2</v>
      </c>
      <c r="E35" s="39">
        <f>$D35+$D35*SSP_parameters_assumptions!E48</f>
        <v>2.2999999999999998</v>
      </c>
      <c r="F35" s="39">
        <f>$D35+$D35*SSP_parameters_assumptions!F48</f>
        <v>2</v>
      </c>
      <c r="G35" s="39">
        <f>$D35+$D35*SSP_parameters_assumptions!G48</f>
        <v>1.5</v>
      </c>
      <c r="H35" s="39">
        <f>$D35+$D35*SSP_parameters_assumptions!H48</f>
        <v>1.8</v>
      </c>
      <c r="I35" s="39">
        <f>$D35+$D35*SSP_parameters_assumptions!I48</f>
        <v>2</v>
      </c>
      <c r="J35" s="507"/>
      <c r="K35" s="507"/>
      <c r="L35" s="507"/>
      <c r="M35" s="507"/>
    </row>
    <row r="36" spans="1:13" s="358" customFormat="1" x14ac:dyDescent="0.25">
      <c r="A36" s="659"/>
      <c r="B36" s="659"/>
      <c r="C36" s="55" t="s">
        <v>63</v>
      </c>
      <c r="D36" s="91">
        <v>0.2</v>
      </c>
      <c r="E36" s="39">
        <f>$D36+$D36*SSP_parameters_assumptions!E49</f>
        <v>0.23</v>
      </c>
      <c r="F36" s="39">
        <f>$D36+$D36*SSP_parameters_assumptions!F49</f>
        <v>0.2</v>
      </c>
      <c r="G36" s="39">
        <f>$D36+$D36*SSP_parameters_assumptions!G49</f>
        <v>0.14000000000000001</v>
      </c>
      <c r="H36" s="39">
        <f>$D36+$D36*SSP_parameters_assumptions!H49</f>
        <v>0.18</v>
      </c>
      <c r="I36" s="39">
        <f>$D36+$D36*SSP_parameters_assumptions!I49</f>
        <v>0.2</v>
      </c>
      <c r="J36" s="38"/>
      <c r="K36" s="38"/>
      <c r="L36" s="38"/>
      <c r="M36" s="38"/>
    </row>
    <row r="37" spans="1:13" s="358" customFormat="1" x14ac:dyDescent="0.25">
      <c r="A37" s="659"/>
      <c r="B37" s="659"/>
      <c r="C37" s="539" t="s">
        <v>69</v>
      </c>
      <c r="D37" s="91">
        <v>50</v>
      </c>
      <c r="E37" s="39">
        <f>$D37+$D37*SSP_parameters_assumptions!E50</f>
        <v>42.5</v>
      </c>
      <c r="F37" s="39">
        <f>$D37+$D37*SSP_parameters_assumptions!F50</f>
        <v>50</v>
      </c>
      <c r="G37" s="39">
        <f>$D37+$D37*SSP_parameters_assumptions!G50</f>
        <v>65</v>
      </c>
      <c r="H37" s="39">
        <f>$D37+$D37*SSP_parameters_assumptions!H50</f>
        <v>55</v>
      </c>
      <c r="I37" s="39">
        <f>$D37+$D37*SSP_parameters_assumptions!I50</f>
        <v>50</v>
      </c>
      <c r="J37" s="519"/>
      <c r="K37" s="519"/>
      <c r="L37" s="519"/>
      <c r="M37" s="519"/>
    </row>
    <row r="38" spans="1:13" x14ac:dyDescent="0.25">
      <c r="A38" s="659"/>
      <c r="B38" s="658" t="s">
        <v>1509</v>
      </c>
      <c r="C38" s="89" t="s">
        <v>71</v>
      </c>
      <c r="D38" s="89">
        <v>0.04</v>
      </c>
      <c r="E38" s="39">
        <f>$D38+$D38*SSP_parameters_assumptions!E51</f>
        <v>0.02</v>
      </c>
      <c r="F38" s="39">
        <f>$D38+$D38*SSP_parameters_assumptions!F51</f>
        <v>0.04</v>
      </c>
      <c r="G38" s="39">
        <f>$D38+$D38*SSP_parameters_assumptions!G51</f>
        <v>3.2000000000000001E-2</v>
      </c>
      <c r="H38" s="39">
        <f>$D38+$D38*SSP_parameters_assumptions!H51</f>
        <v>3.2000000000000001E-2</v>
      </c>
      <c r="I38" s="39">
        <f>$D38+$D38*SSP_parameters_assumptions!I51</f>
        <v>4.8000000000000001E-2</v>
      </c>
      <c r="J38" s="38"/>
      <c r="K38" s="38"/>
      <c r="L38" s="38"/>
      <c r="M38" s="38"/>
    </row>
    <row r="39" spans="1:13" x14ac:dyDescent="0.25">
      <c r="A39" s="659"/>
      <c r="B39" s="658"/>
      <c r="C39" s="89" t="s">
        <v>75</v>
      </c>
      <c r="D39" s="89">
        <v>0.04</v>
      </c>
      <c r="E39" s="39">
        <f>$D39+$D39*SSP_parameters_assumptions!E52</f>
        <v>0.03</v>
      </c>
      <c r="F39" s="39">
        <f>$D39+$D39*SSP_parameters_assumptions!F52</f>
        <v>0.04</v>
      </c>
      <c r="G39" s="39">
        <f>$D39+$D39*SSP_parameters_assumptions!G52</f>
        <v>3.4000000000000002E-2</v>
      </c>
      <c r="H39" s="39">
        <f>$D39+$D39*SSP_parameters_assumptions!H52</f>
        <v>0.03</v>
      </c>
      <c r="I39" s="39">
        <f>$D39+$D39*SSP_parameters_assumptions!I52</f>
        <v>4.8000000000000001E-2</v>
      </c>
      <c r="J39" s="38"/>
      <c r="K39" s="38"/>
      <c r="L39" s="38"/>
      <c r="M39" s="38"/>
    </row>
    <row r="40" spans="1:13" x14ac:dyDescent="0.25">
      <c r="A40" s="659"/>
      <c r="B40" s="658"/>
      <c r="C40" s="89" t="s">
        <v>79</v>
      </c>
      <c r="D40" s="89">
        <v>0.35</v>
      </c>
      <c r="E40" s="39">
        <f>$D40+$D40*SSP_parameters_assumptions!E53</f>
        <v>0.26249999999999996</v>
      </c>
      <c r="F40" s="39">
        <f>$D40+$D40*SSP_parameters_assumptions!F53</f>
        <v>0.35</v>
      </c>
      <c r="G40" s="39">
        <f>$D40+$D40*SSP_parameters_assumptions!G53</f>
        <v>0.40249999999999997</v>
      </c>
      <c r="H40" s="39">
        <f>$D40+$D40*SSP_parameters_assumptions!H53</f>
        <v>0.29749999999999999</v>
      </c>
      <c r="I40" s="39">
        <f>$D40+$D40*SSP_parameters_assumptions!I53</f>
        <v>0.52499999999999991</v>
      </c>
      <c r="J40" s="38"/>
      <c r="K40" s="38"/>
      <c r="L40" s="38"/>
      <c r="M40" s="38"/>
    </row>
    <row r="41" spans="1:13" x14ac:dyDescent="0.25">
      <c r="A41" s="659"/>
      <c r="B41" s="658"/>
      <c r="C41" s="51" t="s">
        <v>82</v>
      </c>
      <c r="D41" s="91">
        <v>5</v>
      </c>
      <c r="E41" s="39">
        <f>$D41+$D41*SSP_parameters_assumptions!E54</f>
        <v>6.25</v>
      </c>
      <c r="F41" s="39">
        <f>$D41+$D41*SSP_parameters_assumptions!F54</f>
        <v>5</v>
      </c>
      <c r="G41" s="39">
        <f>$D41+$D41*SSP_parameters_assumptions!G54</f>
        <v>4.25</v>
      </c>
      <c r="H41" s="39">
        <f>$D41+$D41*SSP_parameters_assumptions!H54</f>
        <v>5.75</v>
      </c>
      <c r="I41" s="39">
        <f>$D41+$D41*SSP_parameters_assumptions!I54</f>
        <v>2.5</v>
      </c>
      <c r="J41" s="38"/>
      <c r="K41" s="38"/>
      <c r="L41" s="38"/>
      <c r="M41" s="38"/>
    </row>
    <row r="42" spans="1:13" x14ac:dyDescent="0.25">
      <c r="A42" s="659" t="s">
        <v>1512</v>
      </c>
      <c r="B42" s="658" t="s">
        <v>1510</v>
      </c>
      <c r="C42" s="93" t="s">
        <v>171</v>
      </c>
      <c r="D42" s="91">
        <v>900000</v>
      </c>
      <c r="E42" s="39">
        <f>$D42+$D42*SSP_parameters_assumptions!E55</f>
        <v>675000</v>
      </c>
      <c r="F42" s="39">
        <f>$D42+$D42*SSP_parameters_assumptions!F55</f>
        <v>900000</v>
      </c>
      <c r="G42" s="39">
        <f>$D42+$D42*SSP_parameters_assumptions!G55</f>
        <v>1035000</v>
      </c>
      <c r="H42" s="39">
        <f>$D42+$D42*SSP_parameters_assumptions!H55</f>
        <v>765000</v>
      </c>
      <c r="I42" s="39">
        <f>$D42+$D42*SSP_parameters_assumptions!I55</f>
        <v>1350000</v>
      </c>
      <c r="J42" s="38"/>
      <c r="K42" s="38"/>
      <c r="L42" s="38"/>
      <c r="M42" s="38"/>
    </row>
    <row r="43" spans="1:13" x14ac:dyDescent="0.25">
      <c r="A43" s="659"/>
      <c r="B43" s="658"/>
      <c r="C43" s="55" t="s">
        <v>1495</v>
      </c>
      <c r="D43" s="91">
        <v>21000000000</v>
      </c>
      <c r="E43" s="39">
        <f>$D43+$D43*SSP_parameters_assumptions!E56</f>
        <v>10500000000</v>
      </c>
      <c r="F43" s="39">
        <f>$D43+$D43*SSP_parameters_assumptions!F56</f>
        <v>21000000000</v>
      </c>
      <c r="G43" s="39">
        <f>$D43+$D43*SSP_parameters_assumptions!G56</f>
        <v>16800000000</v>
      </c>
      <c r="H43" s="39">
        <f>$D43+$D43*SSP_parameters_assumptions!H56</f>
        <v>16800000000</v>
      </c>
      <c r="I43" s="39">
        <f>$D43+$D43*SSP_parameters_assumptions!I56</f>
        <v>36750000000</v>
      </c>
      <c r="J43" s="38"/>
      <c r="K43" s="38"/>
      <c r="L43" s="38"/>
      <c r="M43" s="38"/>
    </row>
    <row r="44" spans="1:13" x14ac:dyDescent="0.25">
      <c r="A44" s="659"/>
      <c r="B44" s="658"/>
      <c r="C44" s="55" t="s">
        <v>1496</v>
      </c>
      <c r="D44" s="91">
        <v>5000</v>
      </c>
      <c r="E44" s="39">
        <f>$D44+$D44*SSP_parameters_assumptions!E57</f>
        <v>2750</v>
      </c>
      <c r="F44" s="39">
        <f>$D44+$D44*SSP_parameters_assumptions!F57</f>
        <v>5000</v>
      </c>
      <c r="G44" s="39">
        <f>$D44+$D44*SSP_parameters_assumptions!G57</f>
        <v>3250</v>
      </c>
      <c r="H44" s="39">
        <f>$D44+$D44*SSP_parameters_assumptions!H57</f>
        <v>2500</v>
      </c>
      <c r="I44" s="39">
        <f>$D44+$D44*SSP_parameters_assumptions!I57</f>
        <v>6750</v>
      </c>
      <c r="J44" s="38"/>
      <c r="K44" s="38"/>
      <c r="L44" s="38"/>
      <c r="M44" s="38"/>
    </row>
    <row r="45" spans="1:13" x14ac:dyDescent="0.25">
      <c r="A45" s="659"/>
      <c r="B45" s="658"/>
      <c r="C45" s="50" t="s">
        <v>55</v>
      </c>
      <c r="D45" s="89">
        <v>10</v>
      </c>
      <c r="E45" s="39">
        <f>$D45+$D45*SSP_parameters_assumptions!E58</f>
        <v>6</v>
      </c>
      <c r="F45" s="39">
        <f>$D45+$D45*SSP_parameters_assumptions!F58</f>
        <v>10</v>
      </c>
      <c r="G45" s="39">
        <f>$D45+$D45*SSP_parameters_assumptions!G58</f>
        <v>17.5</v>
      </c>
      <c r="H45" s="39">
        <f>$D45+$D45*SSP_parameters_assumptions!H58</f>
        <v>13</v>
      </c>
      <c r="I45" s="39">
        <f>$D45+$D45*SSP_parameters_assumptions!I58</f>
        <v>10</v>
      </c>
      <c r="J45" s="507"/>
      <c r="K45" s="507"/>
      <c r="L45" s="507"/>
      <c r="M45" s="507"/>
    </row>
    <row r="46" spans="1:13" x14ac:dyDescent="0.25">
      <c r="A46" s="659"/>
      <c r="B46" s="658"/>
      <c r="C46" s="50" t="s">
        <v>61</v>
      </c>
      <c r="D46" s="89">
        <v>30000000</v>
      </c>
      <c r="E46" s="39">
        <f>$D46+$D46*SSP_parameters_assumptions!E59</f>
        <v>10500000</v>
      </c>
      <c r="F46" s="39">
        <f>$D46+$D46*SSP_parameters_assumptions!F59</f>
        <v>30000000</v>
      </c>
      <c r="G46" s="39">
        <f>$D46+$D46*SSP_parameters_assumptions!G59</f>
        <v>3000000</v>
      </c>
      <c r="H46" s="39">
        <f>$D46+$D46*SSP_parameters_assumptions!H59</f>
        <v>18000000</v>
      </c>
      <c r="I46" s="39">
        <f>$D46+$D46*SSP_parameters_assumptions!I59</f>
        <v>27000000</v>
      </c>
      <c r="J46" s="507"/>
      <c r="K46" s="507"/>
      <c r="L46" s="507"/>
      <c r="M46" s="507"/>
    </row>
    <row r="47" spans="1:13" ht="14.25" customHeight="1" x14ac:dyDescent="0.25">
      <c r="A47" s="659"/>
      <c r="B47" s="658"/>
      <c r="C47" s="89" t="s">
        <v>127</v>
      </c>
      <c r="D47" s="89">
        <v>7500000000</v>
      </c>
      <c r="E47" s="39">
        <f>$D47+$D47*SSP_parameters_assumptions!E62</f>
        <v>0</v>
      </c>
      <c r="F47" s="39">
        <f>$D47+$D47*SSP_parameters_assumptions!F62</f>
        <v>7500000000</v>
      </c>
      <c r="G47" s="39">
        <f>$D47+$D47*SSP_parameters_assumptions!G62</f>
        <v>30000000000</v>
      </c>
      <c r="H47" s="39">
        <f>$D47+$D47*SSP_parameters_assumptions!H62</f>
        <v>22500000000</v>
      </c>
      <c r="I47" s="39">
        <f>$D47+$D47*SSP_parameters_assumptions!I62</f>
        <v>30000000000</v>
      </c>
      <c r="J47" s="38"/>
      <c r="K47" s="38"/>
      <c r="L47" s="38"/>
      <c r="M47" s="38"/>
    </row>
    <row r="48" spans="1:13" x14ac:dyDescent="0.25">
      <c r="A48" s="659"/>
      <c r="B48" s="658"/>
      <c r="C48" s="365" t="s">
        <v>1061</v>
      </c>
      <c r="D48" s="365">
        <v>0</v>
      </c>
      <c r="E48" s="547">
        <v>1</v>
      </c>
      <c r="F48" s="547">
        <v>0</v>
      </c>
      <c r="G48" s="547">
        <v>0</v>
      </c>
      <c r="H48" s="547">
        <v>0</v>
      </c>
      <c r="I48" s="547">
        <v>1</v>
      </c>
      <c r="J48" s="515"/>
      <c r="K48" s="515"/>
      <c r="L48" s="515"/>
      <c r="M48" s="515"/>
    </row>
    <row r="49" spans="1:13" s="358" customFormat="1" ht="14.25" customHeight="1" x14ac:dyDescent="0.25">
      <c r="A49" s="659"/>
      <c r="B49" s="658"/>
      <c r="C49" s="50" t="s">
        <v>88</v>
      </c>
      <c r="D49" s="89">
        <v>0.95</v>
      </c>
      <c r="E49" s="39">
        <f>$D49+$D49*SSP_parameters_assumptions!E65</f>
        <v>0.90249999999999997</v>
      </c>
      <c r="F49" s="39">
        <f>$D49+$D49*SSP_parameters_assumptions!F65</f>
        <v>0.95</v>
      </c>
      <c r="G49" s="550">
        <v>1</v>
      </c>
      <c r="H49" s="39">
        <f>$D49+$D49*SSP_parameters_assumptions!H65</f>
        <v>0.95</v>
      </c>
      <c r="I49" s="39">
        <f>$D49+$D49*SSP_parameters_assumptions!I65</f>
        <v>0.93099999999999994</v>
      </c>
      <c r="J49" s="519"/>
      <c r="K49" s="519"/>
      <c r="L49" s="519"/>
      <c r="M49" s="519"/>
    </row>
    <row r="50" spans="1:13" s="358" customFormat="1" x14ac:dyDescent="0.25">
      <c r="A50" s="659"/>
      <c r="B50" s="658"/>
      <c r="C50" s="347" t="s">
        <v>89</v>
      </c>
      <c r="D50" s="89">
        <v>5</v>
      </c>
      <c r="E50" s="39">
        <f>$D50+$D50*SSP_parameters_assumptions!E66</f>
        <v>5.5</v>
      </c>
      <c r="F50" s="39">
        <f>$D50+$D50*SSP_parameters_assumptions!F66</f>
        <v>5</v>
      </c>
      <c r="G50" s="39">
        <f>$D50+$D50*SSP_parameters_assumptions!G66</f>
        <v>2.5</v>
      </c>
      <c r="H50" s="39">
        <f>$D50+$D50*SSP_parameters_assumptions!H66</f>
        <v>5</v>
      </c>
      <c r="I50" s="39">
        <f>$D50+$D50*SSP_parameters_assumptions!I66</f>
        <v>5.25</v>
      </c>
      <c r="J50" s="519"/>
      <c r="K50" s="519"/>
      <c r="L50" s="519"/>
      <c r="M50" s="519"/>
    </row>
    <row r="51" spans="1:13" ht="14.25" customHeight="1" x14ac:dyDescent="0.25">
      <c r="A51" s="659"/>
      <c r="B51" s="658"/>
      <c r="C51" s="91" t="s">
        <v>109</v>
      </c>
      <c r="D51" s="91">
        <v>7.0000000000000007E-2</v>
      </c>
      <c r="E51" s="39">
        <f>$D51+$D51*SSP_parameters_assumptions!E69</f>
        <v>8.7500000000000008E-2</v>
      </c>
      <c r="F51" s="39">
        <f>$D51+$D51*SSP_parameters_assumptions!F69</f>
        <v>7.0000000000000007E-2</v>
      </c>
      <c r="G51" s="39">
        <f>$D51+$D51*SSP_parameters_assumptions!G69</f>
        <v>5.2500000000000005E-2</v>
      </c>
      <c r="H51" s="39">
        <f>$D51+$D51*SSP_parameters_assumptions!H69</f>
        <v>6.3E-2</v>
      </c>
      <c r="I51" s="39">
        <f>$D51+$D51*SSP_parameters_assumptions!I69</f>
        <v>8.0500000000000002E-2</v>
      </c>
      <c r="J51" s="507"/>
      <c r="K51" s="507"/>
      <c r="L51" s="507"/>
      <c r="M51" s="507"/>
    </row>
    <row r="52" spans="1:13" x14ac:dyDescent="0.25">
      <c r="A52" s="659"/>
      <c r="B52" s="658"/>
      <c r="C52" s="89" t="s">
        <v>107</v>
      </c>
      <c r="D52" s="89">
        <v>0.3</v>
      </c>
      <c r="E52" s="39">
        <f>$D52+$D52*SSP_parameters_assumptions!E70</f>
        <v>0.34499999999999997</v>
      </c>
      <c r="F52" s="39">
        <f>$D52+$D52*SSP_parameters_assumptions!F70</f>
        <v>0.3</v>
      </c>
      <c r="G52" s="39">
        <f>$D52+$D52*SSP_parameters_assumptions!G70</f>
        <v>0.22499999999999998</v>
      </c>
      <c r="H52" s="39">
        <f>$D52+$D52*SSP_parameters_assumptions!H70</f>
        <v>0.27</v>
      </c>
      <c r="I52" s="39">
        <f>$D52+$D52*SSP_parameters_assumptions!I70</f>
        <v>0.34499999999999997</v>
      </c>
      <c r="J52" s="507"/>
      <c r="K52" s="507"/>
      <c r="L52" s="507"/>
      <c r="M52" s="507"/>
    </row>
    <row r="53" spans="1:13" x14ac:dyDescent="0.25">
      <c r="A53" s="659"/>
      <c r="B53" s="658" t="s">
        <v>286</v>
      </c>
      <c r="C53" s="55" t="s">
        <v>110</v>
      </c>
      <c r="D53" s="91">
        <v>1</v>
      </c>
      <c r="E53" s="39">
        <f>$D53+$D53*SSP_parameters_assumptions!E73</f>
        <v>0.5</v>
      </c>
      <c r="F53" s="39">
        <f>$D53+$D53*SSP_parameters_assumptions!F73</f>
        <v>1</v>
      </c>
      <c r="G53" s="39">
        <f>$D53+$D53*SSP_parameters_assumptions!G73</f>
        <v>1.5</v>
      </c>
      <c r="H53" s="39">
        <f>$D53+$D53*SSP_parameters_assumptions!H73</f>
        <v>0.75</v>
      </c>
      <c r="I53" s="39">
        <f>$D53+$D53*SSP_parameters_assumptions!I73</f>
        <v>0.8</v>
      </c>
      <c r="J53" s="507"/>
      <c r="K53" s="507"/>
      <c r="L53" s="507"/>
      <c r="M53" s="507"/>
    </row>
    <row r="54" spans="1:13" x14ac:dyDescent="0.25">
      <c r="A54" s="659"/>
      <c r="B54" s="658"/>
      <c r="C54" s="563" t="s">
        <v>114</v>
      </c>
      <c r="D54" s="564">
        <v>1</v>
      </c>
      <c r="E54" s="39">
        <f>$D54+$D54*SSP_parameters_assumptions!E74</f>
        <v>0.9</v>
      </c>
      <c r="F54" s="39">
        <f>$D54+$D54*SSP_parameters_assumptions!F74</f>
        <v>1</v>
      </c>
      <c r="G54" s="39">
        <f>$D54+$D54*SSP_parameters_assumptions!G74</f>
        <v>1.05</v>
      </c>
      <c r="H54" s="39">
        <f>$D54+$D54*SSP_parameters_assumptions!H74</f>
        <v>0.95</v>
      </c>
      <c r="I54" s="39">
        <f>$D54+$D54*SSP_parameters_assumptions!I74</f>
        <v>1.1000000000000001</v>
      </c>
      <c r="J54" s="507"/>
      <c r="K54" s="507"/>
      <c r="L54" s="507"/>
      <c r="M54" s="507"/>
    </row>
    <row r="55" spans="1:13" x14ac:dyDescent="0.25">
      <c r="A55" s="659"/>
      <c r="B55" s="658"/>
      <c r="C55" s="563" t="s">
        <v>115</v>
      </c>
      <c r="D55" s="564">
        <v>1</v>
      </c>
      <c r="E55" s="39">
        <f>$D55+$D55*SSP_parameters_assumptions!E75</f>
        <v>0.9</v>
      </c>
      <c r="F55" s="39">
        <f>$D55+$D55*SSP_parameters_assumptions!F75</f>
        <v>1</v>
      </c>
      <c r="G55" s="39">
        <f>$D55+$D55*SSP_parameters_assumptions!G75</f>
        <v>1.05</v>
      </c>
      <c r="H55" s="39">
        <f>$D55+$D55*SSP_parameters_assumptions!H75</f>
        <v>0.95</v>
      </c>
      <c r="I55" s="39">
        <f>$D55+$D55*SSP_parameters_assumptions!I75</f>
        <v>1.1000000000000001</v>
      </c>
      <c r="J55" s="507"/>
      <c r="K55" s="507"/>
      <c r="L55" s="507"/>
      <c r="M55" s="507"/>
    </row>
    <row r="56" spans="1:13" x14ac:dyDescent="0.25">
      <c r="A56" s="659"/>
      <c r="B56" s="658"/>
      <c r="C56" s="91" t="s">
        <v>116</v>
      </c>
      <c r="D56" s="543">
        <v>1</v>
      </c>
      <c r="E56" s="39">
        <f>$D56+$D56*SSP_parameters_assumptions!E76</f>
        <v>0.9</v>
      </c>
      <c r="F56" s="39">
        <f>$D56+$D56*SSP_parameters_assumptions!F76</f>
        <v>1</v>
      </c>
      <c r="G56" s="39">
        <f>$D56+$D56*SSP_parameters_assumptions!G76</f>
        <v>1.05</v>
      </c>
      <c r="H56" s="39">
        <f>$D56+$D56*SSP_parameters_assumptions!H76</f>
        <v>0.95</v>
      </c>
      <c r="I56" s="39">
        <f>$D56+$D56*SSP_parameters_assumptions!I76</f>
        <v>1.1000000000000001</v>
      </c>
      <c r="J56" s="507"/>
      <c r="K56" s="507"/>
      <c r="L56" s="507"/>
      <c r="M56" s="507"/>
    </row>
    <row r="57" spans="1:13" x14ac:dyDescent="0.25">
      <c r="A57" s="659"/>
      <c r="B57" s="658"/>
      <c r="C57" s="91" t="s">
        <v>120</v>
      </c>
      <c r="D57" s="91">
        <v>1672.6</v>
      </c>
      <c r="E57" s="39">
        <f>$D57+$D57*SSP_parameters_assumptions!E77</f>
        <v>1505.34</v>
      </c>
      <c r="F57" s="39">
        <f>$D57+$D57*SSP_parameters_assumptions!F77</f>
        <v>1672.6</v>
      </c>
      <c r="G57" s="550">
        <v>1350</v>
      </c>
      <c r="H57" s="39">
        <f>$D57+$D57*SSP_parameters_assumptions!H77</f>
        <v>1756.23</v>
      </c>
      <c r="I57" s="550">
        <v>2500</v>
      </c>
      <c r="J57" s="507"/>
      <c r="K57" s="507"/>
      <c r="L57" s="507"/>
      <c r="M57" s="507"/>
    </row>
    <row r="58" spans="1:13" x14ac:dyDescent="0.25">
      <c r="A58" s="659"/>
      <c r="B58" s="658" t="s">
        <v>287</v>
      </c>
      <c r="C58" s="91" t="s">
        <v>117</v>
      </c>
      <c r="D58" s="58">
        <v>0.01</v>
      </c>
      <c r="E58" s="39">
        <f>$D58+$D58*SSP_parameters_assumptions!E78</f>
        <v>5.0000000000000001E-3</v>
      </c>
      <c r="F58" s="39">
        <f>$D58+$D58*SSP_parameters_assumptions!F78</f>
        <v>0.01</v>
      </c>
      <c r="G58" s="550">
        <v>6.7000000000000002E-3</v>
      </c>
      <c r="H58" s="39">
        <f>$D58+$D58*SSP_parameters_assumptions!H78</f>
        <v>5.4999999999999997E-3</v>
      </c>
      <c r="I58" s="39">
        <f>$D58+$D58*SSP_parameters_assumptions!I78</f>
        <v>1.2500000000000001E-2</v>
      </c>
      <c r="J58" s="507"/>
      <c r="K58" s="507"/>
      <c r="L58" s="507"/>
      <c r="M58" s="507"/>
    </row>
    <row r="59" spans="1:13" x14ac:dyDescent="0.25">
      <c r="A59" s="659"/>
      <c r="B59" s="658"/>
      <c r="C59" s="565" t="s">
        <v>118</v>
      </c>
      <c r="D59" s="566">
        <v>3.0000000000000001E-3</v>
      </c>
      <c r="E59" s="39">
        <f>$D59+$D59*SSP_parameters_assumptions!E79</f>
        <v>4.5000000000000005E-3</v>
      </c>
      <c r="F59" s="39">
        <f>$D59+$D59*SSP_parameters_assumptions!F79</f>
        <v>3.0000000000000001E-3</v>
      </c>
      <c r="G59" s="39">
        <f>$D59+$D59*SSP_parameters_assumptions!G79</f>
        <v>2.4000000000000002E-3</v>
      </c>
      <c r="H59" s="39">
        <f>$D59+$D59*SSP_parameters_assumptions!H79</f>
        <v>4.3499999999999997E-3</v>
      </c>
      <c r="I59" s="39">
        <f>$D59+$D59*SSP_parameters_assumptions!I79</f>
        <v>2.2500000000000003E-3</v>
      </c>
      <c r="J59" s="507"/>
      <c r="K59" s="507"/>
      <c r="L59" s="507"/>
      <c r="M59" s="507"/>
    </row>
    <row r="60" spans="1:13" x14ac:dyDescent="0.25">
      <c r="A60" s="659"/>
      <c r="B60" s="658"/>
      <c r="C60" s="565" t="s">
        <v>119</v>
      </c>
      <c r="D60" s="566">
        <v>0.04</v>
      </c>
      <c r="E60" s="39">
        <f>$D60+$D60*SSP_parameters_assumptions!E80</f>
        <v>4.2000000000000003E-2</v>
      </c>
      <c r="F60" s="39">
        <f>$D60+$D60*SSP_parameters_assumptions!F80</f>
        <v>0.04</v>
      </c>
      <c r="G60" s="39">
        <f>$D60+$D60*SSP_parameters_assumptions!G80</f>
        <v>4.2000000000000003E-2</v>
      </c>
      <c r="H60" s="39">
        <f>$D60+$D60*SSP_parameters_assumptions!H80</f>
        <v>0.04</v>
      </c>
      <c r="I60" s="39">
        <f>$D60+$D60*SSP_parameters_assumptions!I80</f>
        <v>4.2000000000000003E-2</v>
      </c>
      <c r="J60" s="507"/>
      <c r="K60" s="507"/>
      <c r="L60" s="507"/>
      <c r="M60" s="507"/>
    </row>
    <row r="61" spans="1:13" x14ac:dyDescent="0.25">
      <c r="A61" s="659"/>
      <c r="B61" s="658"/>
      <c r="C61" s="546" t="s">
        <v>126</v>
      </c>
      <c r="D61" s="91">
        <v>1.2</v>
      </c>
      <c r="E61" s="39">
        <f>$D61+$D61*SSP_parameters_assumptions!E81</f>
        <v>1.5</v>
      </c>
      <c r="F61" s="39">
        <f>$D61+$D61*SSP_parameters_assumptions!F81</f>
        <v>1.2</v>
      </c>
      <c r="G61" s="39">
        <f>$D61+$D61*SSP_parameters_assumptions!G81</f>
        <v>1.08</v>
      </c>
      <c r="H61" s="39">
        <f>$D61+$D61*SSP_parameters_assumptions!H81</f>
        <v>1.44</v>
      </c>
      <c r="I61" s="39">
        <f>$D61+$D61*SSP_parameters_assumptions!I81</f>
        <v>1.08</v>
      </c>
      <c r="J61" s="507"/>
      <c r="K61" s="507"/>
      <c r="L61" s="507"/>
      <c r="M61" s="507"/>
    </row>
    <row r="62" spans="1:13" x14ac:dyDescent="0.25">
      <c r="A62" s="659"/>
      <c r="B62" s="658"/>
      <c r="C62" s="365" t="s">
        <v>134</v>
      </c>
      <c r="D62" s="365">
        <v>0</v>
      </c>
      <c r="E62" s="66">
        <v>4</v>
      </c>
      <c r="F62" s="56">
        <v>1</v>
      </c>
      <c r="G62" s="56">
        <v>0</v>
      </c>
      <c r="H62" s="56">
        <v>1</v>
      </c>
      <c r="I62" s="56">
        <v>2</v>
      </c>
    </row>
    <row r="63" spans="1:13" x14ac:dyDescent="0.25">
      <c r="A63" s="556"/>
      <c r="B63" s="556"/>
    </row>
    <row r="64" spans="1:13" x14ac:dyDescent="0.25">
      <c r="A64" s="556"/>
      <c r="B64" s="556"/>
    </row>
    <row r="65" spans="1:2" x14ac:dyDescent="0.25">
      <c r="A65" s="556"/>
      <c r="B65" s="556"/>
    </row>
  </sheetData>
  <mergeCells count="20">
    <mergeCell ref="B16:B17"/>
    <mergeCell ref="A3:A17"/>
    <mergeCell ref="B3:B5"/>
    <mergeCell ref="B6:B13"/>
    <mergeCell ref="B14:B15"/>
    <mergeCell ref="A18:A27"/>
    <mergeCell ref="B18:B23"/>
    <mergeCell ref="B24:B27"/>
    <mergeCell ref="A28:A41"/>
    <mergeCell ref="B28:B37"/>
    <mergeCell ref="B38:B41"/>
    <mergeCell ref="B51:B52"/>
    <mergeCell ref="A53:A62"/>
    <mergeCell ref="B53:B57"/>
    <mergeCell ref="B58:B62"/>
    <mergeCell ref="A42:A48"/>
    <mergeCell ref="B42:B46"/>
    <mergeCell ref="B47:B48"/>
    <mergeCell ref="A49:A52"/>
    <mergeCell ref="B49:B50"/>
  </mergeCell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14"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63" t="s">
        <v>142</v>
      </c>
      <c r="B2" s="663" t="s">
        <v>1546</v>
      </c>
      <c r="C2" s="91" t="s">
        <v>6</v>
      </c>
      <c r="D2" s="157">
        <v>0.05</v>
      </c>
      <c r="E2" s="364">
        <v>11.492900000000001</v>
      </c>
      <c r="F2" s="355">
        <f>E2-E2*D2</f>
        <v>10.918255</v>
      </c>
      <c r="G2" s="355">
        <f>E2+E2*D2</f>
        <v>12.067545000000001</v>
      </c>
    </row>
    <row r="3" spans="1:7" x14ac:dyDescent="0.25">
      <c r="A3" s="663"/>
      <c r="B3" s="663"/>
      <c r="C3" s="91" t="s">
        <v>5</v>
      </c>
      <c r="D3" s="157">
        <v>0.05</v>
      </c>
      <c r="E3" s="364">
        <v>27.105799999999999</v>
      </c>
      <c r="F3" s="355">
        <f t="shared" ref="F3:F26" si="0">E3-E3*D3</f>
        <v>25.750509999999998</v>
      </c>
      <c r="G3" s="355">
        <f t="shared" ref="G3:G26" si="1">E3+E3*D3</f>
        <v>28.461089999999999</v>
      </c>
    </row>
    <row r="4" spans="1:7" x14ac:dyDescent="0.25">
      <c r="A4" s="663"/>
      <c r="B4" s="663" t="s">
        <v>1537</v>
      </c>
      <c r="C4" s="91" t="s">
        <v>1534</v>
      </c>
      <c r="D4" s="157">
        <v>0.1</v>
      </c>
      <c r="E4" s="364">
        <v>0.65551800000000005</v>
      </c>
      <c r="F4" s="355">
        <f t="shared" si="0"/>
        <v>0.5899662</v>
      </c>
      <c r="G4" s="355">
        <f t="shared" si="1"/>
        <v>0.72106980000000009</v>
      </c>
    </row>
    <row r="5" spans="1:7" x14ac:dyDescent="0.25">
      <c r="A5" s="663"/>
      <c r="B5" s="663"/>
      <c r="C5" s="91" t="s">
        <v>37</v>
      </c>
      <c r="D5" s="157">
        <v>0.15</v>
      </c>
      <c r="E5" s="364">
        <v>7.0000000000000001E-3</v>
      </c>
      <c r="F5" s="355">
        <f t="shared" si="0"/>
        <v>5.9500000000000004E-3</v>
      </c>
      <c r="G5" s="355">
        <f t="shared" si="1"/>
        <v>8.0499999999999999E-3</v>
      </c>
    </row>
    <row r="6" spans="1:7" x14ac:dyDescent="0.25">
      <c r="A6" s="663"/>
      <c r="B6" s="663"/>
      <c r="C6" s="91" t="s">
        <v>38</v>
      </c>
      <c r="D6" s="157">
        <v>0.15</v>
      </c>
      <c r="E6" s="364">
        <v>2.4827400000000002E-3</v>
      </c>
      <c r="F6" s="355">
        <f t="shared" si="0"/>
        <v>2.1103290000000002E-3</v>
      </c>
      <c r="G6" s="355">
        <f t="shared" si="1"/>
        <v>2.8551510000000002E-3</v>
      </c>
    </row>
    <row r="7" spans="1:7" x14ac:dyDescent="0.25">
      <c r="A7" s="663"/>
      <c r="B7" s="663"/>
      <c r="C7" s="91" t="s">
        <v>1533</v>
      </c>
      <c r="D7" s="157">
        <v>0.1</v>
      </c>
      <c r="E7" s="364">
        <v>0.50268699999999999</v>
      </c>
      <c r="F7" s="355">
        <f t="shared" si="0"/>
        <v>0.4524183</v>
      </c>
      <c r="G7" s="355">
        <f t="shared" si="1"/>
        <v>0.55295570000000005</v>
      </c>
    </row>
    <row r="8" spans="1:7" x14ac:dyDescent="0.25">
      <c r="A8" s="663"/>
      <c r="B8" s="663" t="s">
        <v>1547</v>
      </c>
      <c r="C8" s="91" t="s">
        <v>39</v>
      </c>
      <c r="D8" s="157">
        <v>0.1</v>
      </c>
      <c r="E8" s="581">
        <v>0.44716499999999998</v>
      </c>
      <c r="F8" s="355">
        <f t="shared" si="0"/>
        <v>0.40244849999999999</v>
      </c>
      <c r="G8" s="355">
        <f t="shared" si="1"/>
        <v>0.49188149999999997</v>
      </c>
    </row>
    <row r="9" spans="1:7" x14ac:dyDescent="0.25">
      <c r="A9" s="663"/>
      <c r="B9" s="663"/>
      <c r="C9" s="91" t="s">
        <v>40</v>
      </c>
      <c r="D9" s="157">
        <v>0.1</v>
      </c>
      <c r="E9" s="581">
        <v>0.72691600000000001</v>
      </c>
      <c r="F9" s="355">
        <f t="shared" si="0"/>
        <v>0.65422440000000004</v>
      </c>
      <c r="G9" s="355">
        <f t="shared" si="1"/>
        <v>0.79960759999999997</v>
      </c>
    </row>
    <row r="10" spans="1:7" x14ac:dyDescent="0.25">
      <c r="A10" s="663" t="s">
        <v>1542</v>
      </c>
      <c r="B10" s="663" t="s">
        <v>1548</v>
      </c>
      <c r="C10" s="89" t="s">
        <v>44</v>
      </c>
      <c r="D10" s="157">
        <v>0.1</v>
      </c>
      <c r="E10" s="581">
        <v>1.9999999999999999E-6</v>
      </c>
      <c r="F10" s="355">
        <f t="shared" si="0"/>
        <v>1.7999999999999999E-6</v>
      </c>
      <c r="G10" s="355">
        <f t="shared" si="1"/>
        <v>2.2000000000000001E-6</v>
      </c>
    </row>
    <row r="11" spans="1:7" x14ac:dyDescent="0.25">
      <c r="A11" s="663"/>
      <c r="B11" s="663"/>
      <c r="C11" s="91" t="s">
        <v>50</v>
      </c>
      <c r="D11" s="157">
        <v>0.15</v>
      </c>
      <c r="E11" s="581">
        <v>2</v>
      </c>
      <c r="F11" s="355">
        <f t="shared" si="0"/>
        <v>1.7</v>
      </c>
      <c r="G11" s="355">
        <f t="shared" si="1"/>
        <v>2.2999999999999998</v>
      </c>
    </row>
    <row r="12" spans="1:7" x14ac:dyDescent="0.25">
      <c r="A12" s="663"/>
      <c r="B12" s="663"/>
      <c r="C12" s="530" t="s">
        <v>1492</v>
      </c>
      <c r="D12" s="157">
        <v>0.15</v>
      </c>
      <c r="E12" s="581">
        <v>2.5</v>
      </c>
      <c r="F12" s="355">
        <f t="shared" si="0"/>
        <v>2.125</v>
      </c>
      <c r="G12" s="355">
        <f t="shared" si="1"/>
        <v>2.875</v>
      </c>
    </row>
    <row r="13" spans="1:7" x14ac:dyDescent="0.25">
      <c r="A13" s="663"/>
      <c r="B13" s="663"/>
      <c r="C13" s="530" t="s">
        <v>1493</v>
      </c>
      <c r="D13" s="157">
        <v>0.15</v>
      </c>
      <c r="E13" s="581">
        <v>1.5</v>
      </c>
      <c r="F13" s="355">
        <f t="shared" si="0"/>
        <v>1.2749999999999999</v>
      </c>
      <c r="G13" s="355">
        <f t="shared" si="1"/>
        <v>1.7250000000000001</v>
      </c>
    </row>
    <row r="14" spans="1:7" x14ac:dyDescent="0.25">
      <c r="A14" s="663"/>
      <c r="B14" s="663"/>
      <c r="C14" s="530" t="s">
        <v>1494</v>
      </c>
      <c r="D14" s="157">
        <v>0.15</v>
      </c>
      <c r="E14" s="581">
        <v>1.5</v>
      </c>
      <c r="F14" s="355">
        <f t="shared" si="0"/>
        <v>1.2749999999999999</v>
      </c>
      <c r="G14" s="355">
        <f t="shared" si="1"/>
        <v>1.7250000000000001</v>
      </c>
    </row>
    <row r="15" spans="1:7" x14ac:dyDescent="0.25">
      <c r="A15" s="663"/>
      <c r="B15" s="663" t="s">
        <v>1538</v>
      </c>
      <c r="C15" s="89" t="s">
        <v>71</v>
      </c>
      <c r="D15" s="157">
        <v>0.15</v>
      </c>
      <c r="E15" s="581">
        <v>0.04</v>
      </c>
      <c r="F15" s="355">
        <f t="shared" si="0"/>
        <v>3.4000000000000002E-2</v>
      </c>
      <c r="G15" s="355">
        <f t="shared" si="1"/>
        <v>4.5999999999999999E-2</v>
      </c>
    </row>
    <row r="16" spans="1:7" x14ac:dyDescent="0.25">
      <c r="A16" s="663"/>
      <c r="B16" s="663"/>
      <c r="C16" s="89" t="s">
        <v>75</v>
      </c>
      <c r="D16" s="157">
        <v>0.15</v>
      </c>
      <c r="E16" s="581">
        <v>0.04</v>
      </c>
      <c r="F16" s="355">
        <f t="shared" si="0"/>
        <v>3.4000000000000002E-2</v>
      </c>
      <c r="G16" s="355">
        <f t="shared" si="1"/>
        <v>4.5999999999999999E-2</v>
      </c>
    </row>
    <row r="17" spans="1:7" x14ac:dyDescent="0.25">
      <c r="A17" s="663"/>
      <c r="B17" s="663"/>
      <c r="C17" s="89" t="s">
        <v>79</v>
      </c>
      <c r="D17" s="157">
        <v>0.15</v>
      </c>
      <c r="E17" s="581">
        <v>0.35</v>
      </c>
      <c r="F17" s="355">
        <f t="shared" si="0"/>
        <v>0.29749999999999999</v>
      </c>
      <c r="G17" s="355">
        <f t="shared" si="1"/>
        <v>0.40249999999999997</v>
      </c>
    </row>
    <row r="18" spans="1:7" x14ac:dyDescent="0.25">
      <c r="A18" s="663"/>
      <c r="B18" s="663"/>
      <c r="C18" s="93" t="s">
        <v>1495</v>
      </c>
      <c r="D18" s="157">
        <v>0.15</v>
      </c>
      <c r="E18" s="581">
        <v>21000000000</v>
      </c>
      <c r="F18" s="355">
        <f t="shared" si="0"/>
        <v>17850000000</v>
      </c>
      <c r="G18" s="355">
        <f t="shared" si="1"/>
        <v>24150000000</v>
      </c>
    </row>
    <row r="19" spans="1:7" x14ac:dyDescent="0.25">
      <c r="A19" s="663"/>
      <c r="B19" s="663"/>
      <c r="C19" s="93" t="s">
        <v>1496</v>
      </c>
      <c r="D19" s="157">
        <v>0.15</v>
      </c>
      <c r="E19" s="581">
        <v>5000</v>
      </c>
      <c r="F19" s="355">
        <f t="shared" si="0"/>
        <v>4250</v>
      </c>
      <c r="G19" s="355">
        <f t="shared" si="1"/>
        <v>5750</v>
      </c>
    </row>
    <row r="20" spans="1:7" x14ac:dyDescent="0.25">
      <c r="A20" s="663"/>
      <c r="B20" s="663" t="s">
        <v>1549</v>
      </c>
      <c r="C20" s="91" t="s">
        <v>56</v>
      </c>
      <c r="D20" s="157">
        <v>0.15</v>
      </c>
      <c r="E20" s="581">
        <v>2</v>
      </c>
      <c r="F20" s="355">
        <f t="shared" si="0"/>
        <v>1.7</v>
      </c>
      <c r="G20" s="355">
        <f t="shared" si="1"/>
        <v>2.2999999999999998</v>
      </c>
    </row>
    <row r="21" spans="1:7" x14ac:dyDescent="0.25">
      <c r="A21" s="663"/>
      <c r="B21" s="663"/>
      <c r="C21" s="89" t="s">
        <v>61</v>
      </c>
      <c r="D21" s="157">
        <v>0.15</v>
      </c>
      <c r="E21" s="581">
        <v>30000000</v>
      </c>
      <c r="F21" s="355">
        <f t="shared" si="0"/>
        <v>25500000</v>
      </c>
      <c r="G21" s="355">
        <f t="shared" si="1"/>
        <v>34500000</v>
      </c>
    </row>
    <row r="22" spans="1:7" ht="30" x14ac:dyDescent="0.25">
      <c r="A22" s="663" t="s">
        <v>1541</v>
      </c>
      <c r="B22" s="583" t="s">
        <v>1539</v>
      </c>
      <c r="C22" s="89" t="s">
        <v>88</v>
      </c>
      <c r="D22" s="157">
        <v>0.1</v>
      </c>
      <c r="E22" s="581">
        <v>0.95</v>
      </c>
      <c r="F22" s="355">
        <f t="shared" si="0"/>
        <v>0.85499999999999998</v>
      </c>
      <c r="G22" s="355">
        <v>1</v>
      </c>
    </row>
    <row r="23" spans="1:7" x14ac:dyDescent="0.25">
      <c r="A23" s="663"/>
      <c r="B23" s="672" t="s">
        <v>168</v>
      </c>
      <c r="C23" s="91" t="s">
        <v>109</v>
      </c>
      <c r="D23" s="157">
        <v>0.15</v>
      </c>
      <c r="E23" s="581">
        <v>7.0000000000000007E-2</v>
      </c>
      <c r="F23" s="355">
        <f t="shared" si="0"/>
        <v>5.9500000000000004E-2</v>
      </c>
      <c r="G23" s="355">
        <f t="shared" si="1"/>
        <v>8.0500000000000002E-2</v>
      </c>
    </row>
    <row r="24" spans="1:7" x14ac:dyDescent="0.25">
      <c r="A24" s="663"/>
      <c r="B24" s="672"/>
      <c r="C24" s="89" t="s">
        <v>107</v>
      </c>
      <c r="D24" s="157">
        <v>0.15</v>
      </c>
      <c r="E24" s="581">
        <v>0.3</v>
      </c>
      <c r="F24" s="355">
        <f t="shared" si="0"/>
        <v>0.255</v>
      </c>
      <c r="G24" s="355">
        <f t="shared" si="1"/>
        <v>0.34499999999999997</v>
      </c>
    </row>
    <row r="25" spans="1:7" x14ac:dyDescent="0.25">
      <c r="A25" s="663"/>
      <c r="B25" s="583" t="s">
        <v>1540</v>
      </c>
      <c r="C25" s="91" t="s">
        <v>116</v>
      </c>
      <c r="D25" s="157">
        <v>0.15</v>
      </c>
      <c r="E25" s="581">
        <v>1</v>
      </c>
      <c r="F25" s="355">
        <f t="shared" si="0"/>
        <v>0.85</v>
      </c>
      <c r="G25" s="355">
        <f t="shared" si="1"/>
        <v>1.1499999999999999</v>
      </c>
    </row>
    <row r="26" spans="1:7" x14ac:dyDescent="0.25">
      <c r="A26" s="663"/>
      <c r="B26" s="663" t="s">
        <v>1523</v>
      </c>
      <c r="C26" s="91" t="s">
        <v>120</v>
      </c>
      <c r="D26" s="157">
        <v>0.05</v>
      </c>
      <c r="E26" s="581">
        <v>1672.6</v>
      </c>
      <c r="F26" s="355">
        <f t="shared" si="0"/>
        <v>1588.9699999999998</v>
      </c>
      <c r="G26" s="355">
        <f t="shared" si="1"/>
        <v>1756.23</v>
      </c>
    </row>
    <row r="27" spans="1:7" x14ac:dyDescent="0.25">
      <c r="A27" s="663"/>
      <c r="B27" s="663"/>
      <c r="C27" s="584" t="s">
        <v>134</v>
      </c>
      <c r="D27" s="585" t="s">
        <v>1545</v>
      </c>
      <c r="E27" s="586">
        <v>0</v>
      </c>
      <c r="F27" s="587">
        <v>0</v>
      </c>
      <c r="G27" s="587">
        <v>0.99</v>
      </c>
    </row>
    <row r="28" spans="1:7" x14ac:dyDescent="0.25">
      <c r="A28" s="664" t="s">
        <v>1544</v>
      </c>
      <c r="B28" s="659" t="s">
        <v>1543</v>
      </c>
      <c r="C28" s="588" t="s">
        <v>1190</v>
      </c>
      <c r="D28" s="585" t="s">
        <v>1545</v>
      </c>
      <c r="E28" s="586">
        <v>5</v>
      </c>
      <c r="F28" s="587">
        <v>3</v>
      </c>
      <c r="G28" s="587">
        <v>10</v>
      </c>
    </row>
    <row r="29" spans="1:7" x14ac:dyDescent="0.25">
      <c r="A29" s="664"/>
      <c r="B29" s="659"/>
      <c r="C29" s="588" t="s">
        <v>1191</v>
      </c>
      <c r="D29" s="585" t="s">
        <v>1545</v>
      </c>
      <c r="E29" s="586">
        <v>5</v>
      </c>
      <c r="F29" s="587">
        <v>3</v>
      </c>
      <c r="G29" s="587">
        <v>10</v>
      </c>
    </row>
    <row r="30" spans="1:7" x14ac:dyDescent="0.25">
      <c r="A30" s="664"/>
      <c r="B30" s="659"/>
      <c r="C30" s="588" t="s">
        <v>1192</v>
      </c>
      <c r="D30" s="585" t="s">
        <v>1545</v>
      </c>
      <c r="E30" s="586">
        <v>5</v>
      </c>
      <c r="F30" s="587">
        <v>3</v>
      </c>
      <c r="G30" s="587">
        <v>10</v>
      </c>
    </row>
    <row r="31" spans="1:7" x14ac:dyDescent="0.25">
      <c r="A31" s="664"/>
      <c r="B31" s="659"/>
      <c r="C31" s="588" t="s">
        <v>1193</v>
      </c>
      <c r="D31" s="585" t="s">
        <v>1545</v>
      </c>
      <c r="E31" s="586">
        <v>5</v>
      </c>
      <c r="F31" s="587">
        <v>3</v>
      </c>
      <c r="G31" s="587">
        <v>10</v>
      </c>
    </row>
    <row r="32" spans="1:7" x14ac:dyDescent="0.25">
      <c r="A32" s="664"/>
      <c r="B32" s="659"/>
      <c r="C32" s="588" t="s">
        <v>1194</v>
      </c>
      <c r="D32" s="585" t="s">
        <v>1545</v>
      </c>
      <c r="E32" s="586">
        <v>5</v>
      </c>
      <c r="F32" s="587">
        <v>3</v>
      </c>
      <c r="G32" s="587">
        <v>10</v>
      </c>
    </row>
    <row r="33" spans="1:7" x14ac:dyDescent="0.25">
      <c r="A33" s="664"/>
      <c r="B33" s="659"/>
      <c r="C33" s="588" t="s">
        <v>1195</v>
      </c>
      <c r="D33" s="585" t="s">
        <v>1545</v>
      </c>
      <c r="E33" s="586">
        <v>5</v>
      </c>
      <c r="F33" s="587">
        <v>3</v>
      </c>
      <c r="G33" s="587">
        <v>10</v>
      </c>
    </row>
    <row r="34" spans="1:7" x14ac:dyDescent="0.25">
      <c r="A34" s="655" t="s">
        <v>18</v>
      </c>
      <c r="B34" s="655" t="s">
        <v>1608</v>
      </c>
      <c r="C34" s="89" t="s">
        <v>1606</v>
      </c>
      <c r="D34" s="157">
        <v>0.15</v>
      </c>
      <c r="E34" s="643">
        <v>5</v>
      </c>
      <c r="F34" s="355">
        <f>E34-E34*D34</f>
        <v>4.25</v>
      </c>
      <c r="G34" s="355">
        <f>E34+E34*D34</f>
        <v>5.75</v>
      </c>
    </row>
    <row r="35" spans="1:7" x14ac:dyDescent="0.25">
      <c r="A35" s="655"/>
      <c r="B35" s="655"/>
      <c r="C35" s="89" t="s">
        <v>1602</v>
      </c>
      <c r="D35" s="157">
        <v>0.15</v>
      </c>
      <c r="E35" s="643">
        <v>0.05</v>
      </c>
      <c r="F35" s="355">
        <f>E35-E35*D35</f>
        <v>4.2500000000000003E-2</v>
      </c>
      <c r="G35" s="355">
        <f>E35+E35*D35</f>
        <v>5.7500000000000002E-2</v>
      </c>
    </row>
    <row r="36" spans="1:7" x14ac:dyDescent="0.25">
      <c r="A36" s="655"/>
      <c r="B36" s="655"/>
      <c r="C36" s="89" t="s">
        <v>1603</v>
      </c>
      <c r="D36" s="157">
        <v>0.15</v>
      </c>
      <c r="E36" s="643">
        <v>5000000</v>
      </c>
      <c r="F36" s="355">
        <f>E36-E36*D36</f>
        <v>4250000</v>
      </c>
      <c r="G36" s="355">
        <f>E36+E36*D36</f>
        <v>5750000</v>
      </c>
    </row>
  </sheetData>
  <mergeCells count="15">
    <mergeCell ref="A34:A36"/>
    <mergeCell ref="B34:B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80" zoomScaleNormal="80" workbookViewId="0">
      <pane xSplit="3" ySplit="1" topLeftCell="D2" activePane="bottomRight" state="frozen"/>
      <selection activeCell="H23" sqref="H23"/>
      <selection pane="topRight" activeCell="H23" sqref="H23"/>
      <selection pane="bottomLeft" activeCell="H23" sqref="H23"/>
      <selection pane="bottomRight" activeCell="E34" sqref="E34:M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63" t="s">
        <v>142</v>
      </c>
      <c r="B2" s="663" t="s">
        <v>1546</v>
      </c>
      <c r="C2" s="91" t="s">
        <v>6</v>
      </c>
      <c r="D2" s="157">
        <v>0.05</v>
      </c>
      <c r="E2" s="364">
        <v>15</v>
      </c>
      <c r="F2" s="355">
        <f>E2-E2*D2</f>
        <v>14.25</v>
      </c>
      <c r="G2" s="355">
        <f>E2+E2*D2</f>
        <v>15.75</v>
      </c>
    </row>
    <row r="3" spans="1:7" x14ac:dyDescent="0.25">
      <c r="A3" s="663"/>
      <c r="B3" s="663"/>
      <c r="C3" s="91" t="s">
        <v>5</v>
      </c>
      <c r="D3" s="157">
        <v>0.05</v>
      </c>
      <c r="E3" s="364">
        <v>22.505299999999998</v>
      </c>
      <c r="F3" s="355">
        <f t="shared" ref="F3:F26" si="0">E3-E3*D3</f>
        <v>21.380034999999999</v>
      </c>
      <c r="G3" s="355">
        <f t="shared" ref="G3:G26" si="1">E3+E3*D3</f>
        <v>23.630564999999997</v>
      </c>
    </row>
    <row r="4" spans="1:7" x14ac:dyDescent="0.25">
      <c r="A4" s="663"/>
      <c r="B4" s="663" t="s">
        <v>1537</v>
      </c>
      <c r="C4" s="91" t="s">
        <v>1534</v>
      </c>
      <c r="D4" s="157">
        <v>0.1</v>
      </c>
      <c r="E4" s="364">
        <v>0.464532</v>
      </c>
      <c r="F4" s="355">
        <f t="shared" si="0"/>
        <v>0.41807879999999997</v>
      </c>
      <c r="G4" s="355">
        <f t="shared" si="1"/>
        <v>0.51098520000000003</v>
      </c>
    </row>
    <row r="5" spans="1:7" x14ac:dyDescent="0.25">
      <c r="A5" s="663"/>
      <c r="B5" s="663"/>
      <c r="C5" s="91" t="s">
        <v>37</v>
      </c>
      <c r="D5" s="157">
        <v>0.15</v>
      </c>
      <c r="E5" s="364">
        <v>-8.82429E-4</v>
      </c>
      <c r="F5" s="355">
        <f>E5+E5*D5</f>
        <v>-1.0147933500000001E-3</v>
      </c>
      <c r="G5" s="355">
        <f>E5-E5*D5</f>
        <v>-7.5006464999999994E-4</v>
      </c>
    </row>
    <row r="6" spans="1:7" x14ac:dyDescent="0.25">
      <c r="A6" s="663"/>
      <c r="B6" s="663"/>
      <c r="C6" s="91" t="s">
        <v>38</v>
      </c>
      <c r="D6" s="157">
        <v>0.15</v>
      </c>
      <c r="E6" s="364">
        <v>-1E-3</v>
      </c>
      <c r="F6" s="355">
        <f>E6+E6*D6</f>
        <v>-1.15E-3</v>
      </c>
      <c r="G6" s="355">
        <f>E6-E6*D6</f>
        <v>-8.5000000000000006E-4</v>
      </c>
    </row>
    <row r="7" spans="1:7" x14ac:dyDescent="0.25">
      <c r="A7" s="663"/>
      <c r="B7" s="663"/>
      <c r="C7" s="91" t="s">
        <v>1533</v>
      </c>
      <c r="D7" s="157">
        <v>0.1</v>
      </c>
      <c r="E7" s="364">
        <v>0.38500000000000001</v>
      </c>
      <c r="F7" s="355">
        <f t="shared" si="0"/>
        <v>0.34650000000000003</v>
      </c>
      <c r="G7" s="355">
        <f t="shared" si="1"/>
        <v>0.42349999999999999</v>
      </c>
    </row>
    <row r="8" spans="1:7" x14ac:dyDescent="0.25">
      <c r="A8" s="663"/>
      <c r="B8" s="663" t="s">
        <v>1547</v>
      </c>
      <c r="C8" s="91" t="s">
        <v>39</v>
      </c>
      <c r="D8" s="157">
        <v>0.1</v>
      </c>
      <c r="E8" s="581">
        <v>0.32067899999999999</v>
      </c>
      <c r="F8" s="355">
        <f t="shared" si="0"/>
        <v>0.28861110000000001</v>
      </c>
      <c r="G8" s="355">
        <f t="shared" si="1"/>
        <v>0.35274689999999997</v>
      </c>
    </row>
    <row r="9" spans="1:7" x14ac:dyDescent="0.25">
      <c r="A9" s="663"/>
      <c r="B9" s="663"/>
      <c r="C9" s="91" t="s">
        <v>40</v>
      </c>
      <c r="D9" s="157">
        <v>0.1</v>
      </c>
      <c r="E9" s="581">
        <v>0.70688700000000004</v>
      </c>
      <c r="F9" s="355">
        <f t="shared" si="0"/>
        <v>0.63619829999999999</v>
      </c>
      <c r="G9" s="355">
        <f t="shared" si="1"/>
        <v>0.77757570000000009</v>
      </c>
    </row>
    <row r="10" spans="1:7" x14ac:dyDescent="0.25">
      <c r="A10" s="663" t="s">
        <v>1542</v>
      </c>
      <c r="B10" s="663" t="s">
        <v>1548</v>
      </c>
      <c r="C10" s="89" t="s">
        <v>44</v>
      </c>
      <c r="D10" s="157">
        <v>0.1</v>
      </c>
      <c r="E10" s="581">
        <v>1.9E-6</v>
      </c>
      <c r="F10" s="355">
        <f t="shared" si="0"/>
        <v>1.7099999999999999E-6</v>
      </c>
      <c r="G10" s="355">
        <f t="shared" si="1"/>
        <v>2.0899999999999999E-6</v>
      </c>
    </row>
    <row r="11" spans="1:7" x14ac:dyDescent="0.25">
      <c r="A11" s="663"/>
      <c r="B11" s="663"/>
      <c r="C11" s="91" t="s">
        <v>50</v>
      </c>
      <c r="D11" s="157">
        <v>0.15</v>
      </c>
      <c r="E11" s="581">
        <v>2.2000000000000002</v>
      </c>
      <c r="F11" s="355">
        <f t="shared" si="0"/>
        <v>1.87</v>
      </c>
      <c r="G11" s="355">
        <f t="shared" si="1"/>
        <v>2.5300000000000002</v>
      </c>
    </row>
    <row r="12" spans="1:7" x14ac:dyDescent="0.25">
      <c r="A12" s="663"/>
      <c r="B12" s="663"/>
      <c r="C12" s="530" t="s">
        <v>1492</v>
      </c>
      <c r="D12" s="157">
        <v>0.15</v>
      </c>
      <c r="E12" s="581">
        <v>1</v>
      </c>
      <c r="F12" s="355">
        <f t="shared" si="0"/>
        <v>0.85</v>
      </c>
      <c r="G12" s="355">
        <f t="shared" si="1"/>
        <v>1.1499999999999999</v>
      </c>
    </row>
    <row r="13" spans="1:7" x14ac:dyDescent="0.25">
      <c r="A13" s="663"/>
      <c r="B13" s="663"/>
      <c r="C13" s="530" t="s">
        <v>1493</v>
      </c>
      <c r="D13" s="157">
        <v>0.15</v>
      </c>
      <c r="E13" s="581">
        <v>1</v>
      </c>
      <c r="F13" s="355">
        <f t="shared" si="0"/>
        <v>0.85</v>
      </c>
      <c r="G13" s="355">
        <f t="shared" si="1"/>
        <v>1.1499999999999999</v>
      </c>
    </row>
    <row r="14" spans="1:7" x14ac:dyDescent="0.25">
      <c r="A14" s="663"/>
      <c r="B14" s="663"/>
      <c r="C14" s="530" t="s">
        <v>1494</v>
      </c>
      <c r="D14" s="157">
        <v>0.15</v>
      </c>
      <c r="E14" s="581">
        <v>6</v>
      </c>
      <c r="F14" s="355">
        <f t="shared" si="0"/>
        <v>5.0999999999999996</v>
      </c>
      <c r="G14" s="355">
        <f t="shared" si="1"/>
        <v>6.9</v>
      </c>
    </row>
    <row r="15" spans="1:7" x14ac:dyDescent="0.25">
      <c r="A15" s="663"/>
      <c r="B15" s="663" t="s">
        <v>1538</v>
      </c>
      <c r="C15" s="89" t="s">
        <v>71</v>
      </c>
      <c r="D15" s="157">
        <v>0.15</v>
      </c>
      <c r="E15" s="581">
        <v>3.2000000000000001E-2</v>
      </c>
      <c r="F15" s="355">
        <f t="shared" si="0"/>
        <v>2.7200000000000002E-2</v>
      </c>
      <c r="G15" s="355">
        <f t="shared" si="1"/>
        <v>3.6799999999999999E-2</v>
      </c>
    </row>
    <row r="16" spans="1:7" x14ac:dyDescent="0.25">
      <c r="A16" s="663"/>
      <c r="B16" s="663"/>
      <c r="C16" s="89" t="s">
        <v>75</v>
      </c>
      <c r="D16" s="157">
        <v>0.15</v>
      </c>
      <c r="E16" s="581">
        <v>3.4000000000000002E-2</v>
      </c>
      <c r="F16" s="355">
        <f t="shared" si="0"/>
        <v>2.8900000000000002E-2</v>
      </c>
      <c r="G16" s="355">
        <f t="shared" si="1"/>
        <v>3.9100000000000003E-2</v>
      </c>
    </row>
    <row r="17" spans="1:7" x14ac:dyDescent="0.25">
      <c r="A17" s="663"/>
      <c r="B17" s="663"/>
      <c r="C17" s="89" t="s">
        <v>79</v>
      </c>
      <c r="D17" s="157">
        <v>0.15</v>
      </c>
      <c r="E17" s="581">
        <v>0.40249999999999997</v>
      </c>
      <c r="F17" s="355">
        <f t="shared" si="0"/>
        <v>0.34212499999999996</v>
      </c>
      <c r="G17" s="355">
        <f t="shared" si="1"/>
        <v>0.46287499999999998</v>
      </c>
    </row>
    <row r="18" spans="1:7" x14ac:dyDescent="0.25">
      <c r="A18" s="663"/>
      <c r="B18" s="663"/>
      <c r="C18" s="93" t="s">
        <v>1495</v>
      </c>
      <c r="D18" s="157">
        <v>0.15</v>
      </c>
      <c r="E18" s="581">
        <v>16800000000</v>
      </c>
      <c r="F18" s="355">
        <f t="shared" si="0"/>
        <v>14280000000</v>
      </c>
      <c r="G18" s="355">
        <f t="shared" si="1"/>
        <v>19320000000</v>
      </c>
    </row>
    <row r="19" spans="1:7" x14ac:dyDescent="0.25">
      <c r="A19" s="663"/>
      <c r="B19" s="663"/>
      <c r="C19" s="93" t="s">
        <v>1496</v>
      </c>
      <c r="D19" s="157">
        <v>0.15</v>
      </c>
      <c r="E19" s="581">
        <v>3250</v>
      </c>
      <c r="F19" s="355">
        <f t="shared" si="0"/>
        <v>2762.5</v>
      </c>
      <c r="G19" s="355">
        <f t="shared" si="1"/>
        <v>3737.5</v>
      </c>
    </row>
    <row r="20" spans="1:7" x14ac:dyDescent="0.25">
      <c r="A20" s="663"/>
      <c r="B20" s="663" t="s">
        <v>1549</v>
      </c>
      <c r="C20" s="91" t="s">
        <v>56</v>
      </c>
      <c r="D20" s="157">
        <v>0.15</v>
      </c>
      <c r="E20" s="581">
        <v>1.5</v>
      </c>
      <c r="F20" s="355">
        <f t="shared" si="0"/>
        <v>1.2749999999999999</v>
      </c>
      <c r="G20" s="355">
        <f t="shared" si="1"/>
        <v>1.7250000000000001</v>
      </c>
    </row>
    <row r="21" spans="1:7" x14ac:dyDescent="0.25">
      <c r="A21" s="663"/>
      <c r="B21" s="663"/>
      <c r="C21" s="89" t="s">
        <v>61</v>
      </c>
      <c r="D21" s="157">
        <v>0.15</v>
      </c>
      <c r="E21" s="581">
        <v>3000000</v>
      </c>
      <c r="F21" s="355">
        <f t="shared" si="0"/>
        <v>2550000</v>
      </c>
      <c r="G21" s="355">
        <f t="shared" si="1"/>
        <v>3450000</v>
      </c>
    </row>
    <row r="22" spans="1:7" ht="30" x14ac:dyDescent="0.25">
      <c r="A22" s="663" t="s">
        <v>1541</v>
      </c>
      <c r="B22" s="583" t="s">
        <v>1539</v>
      </c>
      <c r="C22" s="89" t="s">
        <v>88</v>
      </c>
      <c r="D22" s="157">
        <v>0.1</v>
      </c>
      <c r="E22" s="581">
        <v>1</v>
      </c>
      <c r="F22" s="355">
        <f t="shared" si="0"/>
        <v>0.9</v>
      </c>
      <c r="G22" s="355">
        <v>1</v>
      </c>
    </row>
    <row r="23" spans="1:7" x14ac:dyDescent="0.25">
      <c r="A23" s="663"/>
      <c r="B23" s="672" t="s">
        <v>168</v>
      </c>
      <c r="C23" s="91" t="s">
        <v>109</v>
      </c>
      <c r="D23" s="157">
        <v>0.15</v>
      </c>
      <c r="E23" s="581">
        <v>5.2500000000000005E-2</v>
      </c>
      <c r="F23" s="355">
        <f t="shared" si="0"/>
        <v>4.4625000000000005E-2</v>
      </c>
      <c r="G23" s="355">
        <f t="shared" si="1"/>
        <v>6.0375000000000005E-2</v>
      </c>
    </row>
    <row r="24" spans="1:7" x14ac:dyDescent="0.25">
      <c r="A24" s="663"/>
      <c r="B24" s="672"/>
      <c r="C24" s="89" t="s">
        <v>107</v>
      </c>
      <c r="D24" s="157">
        <v>0.15</v>
      </c>
      <c r="E24" s="581">
        <v>0.22499999999999998</v>
      </c>
      <c r="F24" s="355">
        <f t="shared" si="0"/>
        <v>0.19124999999999998</v>
      </c>
      <c r="G24" s="355">
        <f t="shared" si="1"/>
        <v>0.25874999999999998</v>
      </c>
    </row>
    <row r="25" spans="1:7" x14ac:dyDescent="0.25">
      <c r="A25" s="663"/>
      <c r="B25" s="583" t="s">
        <v>1540</v>
      </c>
      <c r="C25" s="91" t="s">
        <v>116</v>
      </c>
      <c r="D25" s="157">
        <v>0.15</v>
      </c>
      <c r="E25" s="581">
        <v>1.05</v>
      </c>
      <c r="F25" s="355">
        <f t="shared" si="0"/>
        <v>0.89250000000000007</v>
      </c>
      <c r="G25" s="355">
        <f t="shared" si="1"/>
        <v>1.2075</v>
      </c>
    </row>
    <row r="26" spans="1:7" x14ac:dyDescent="0.25">
      <c r="A26" s="663"/>
      <c r="B26" s="663" t="s">
        <v>1523</v>
      </c>
      <c r="C26" s="91" t="s">
        <v>120</v>
      </c>
      <c r="D26" s="157">
        <v>0.05</v>
      </c>
      <c r="E26" s="581">
        <v>1756.23</v>
      </c>
      <c r="F26" s="355">
        <f t="shared" si="0"/>
        <v>1668.4185</v>
      </c>
      <c r="G26" s="355">
        <f t="shared" si="1"/>
        <v>1844.0415</v>
      </c>
    </row>
    <row r="27" spans="1:7" x14ac:dyDescent="0.25">
      <c r="A27" s="663"/>
      <c r="B27" s="663"/>
      <c r="C27" s="584" t="s">
        <v>134</v>
      </c>
      <c r="D27" s="585" t="s">
        <v>1545</v>
      </c>
      <c r="E27" s="586">
        <v>0</v>
      </c>
      <c r="F27" s="587">
        <v>0</v>
      </c>
      <c r="G27" s="587">
        <v>0.99</v>
      </c>
    </row>
    <row r="28" spans="1:7" x14ac:dyDescent="0.25">
      <c r="A28" s="664" t="s">
        <v>1544</v>
      </c>
      <c r="B28" s="659" t="s">
        <v>1543</v>
      </c>
      <c r="C28" s="588" t="s">
        <v>1190</v>
      </c>
      <c r="D28" s="585" t="s">
        <v>1545</v>
      </c>
      <c r="E28" s="586">
        <v>5</v>
      </c>
      <c r="F28" s="587">
        <v>3</v>
      </c>
      <c r="G28" s="587">
        <v>10</v>
      </c>
    </row>
    <row r="29" spans="1:7" x14ac:dyDescent="0.25">
      <c r="A29" s="664"/>
      <c r="B29" s="659"/>
      <c r="C29" s="588" t="s">
        <v>1191</v>
      </c>
      <c r="D29" s="585" t="s">
        <v>1545</v>
      </c>
      <c r="E29" s="586">
        <v>5</v>
      </c>
      <c r="F29" s="587">
        <v>3</v>
      </c>
      <c r="G29" s="587">
        <v>10</v>
      </c>
    </row>
    <row r="30" spans="1:7" x14ac:dyDescent="0.25">
      <c r="A30" s="664"/>
      <c r="B30" s="659"/>
      <c r="C30" s="588" t="s">
        <v>1192</v>
      </c>
      <c r="D30" s="585" t="s">
        <v>1545</v>
      </c>
      <c r="E30" s="586">
        <v>5</v>
      </c>
      <c r="F30" s="587">
        <v>3</v>
      </c>
      <c r="G30" s="587">
        <v>10</v>
      </c>
    </row>
    <row r="31" spans="1:7" x14ac:dyDescent="0.25">
      <c r="A31" s="664"/>
      <c r="B31" s="659"/>
      <c r="C31" s="588" t="s">
        <v>1193</v>
      </c>
      <c r="D31" s="585" t="s">
        <v>1545</v>
      </c>
      <c r="E31" s="586">
        <v>5</v>
      </c>
      <c r="F31" s="587">
        <v>3</v>
      </c>
      <c r="G31" s="587">
        <v>10</v>
      </c>
    </row>
    <row r="32" spans="1:7" x14ac:dyDescent="0.25">
      <c r="A32" s="664"/>
      <c r="B32" s="659"/>
      <c r="C32" s="588" t="s">
        <v>1194</v>
      </c>
      <c r="D32" s="585" t="s">
        <v>1545</v>
      </c>
      <c r="E32" s="586">
        <v>5</v>
      </c>
      <c r="F32" s="587">
        <v>3</v>
      </c>
      <c r="G32" s="587">
        <v>10</v>
      </c>
    </row>
    <row r="33" spans="1:13" x14ac:dyDescent="0.25">
      <c r="A33" s="664"/>
      <c r="B33" s="659"/>
      <c r="C33" s="588" t="s">
        <v>1195</v>
      </c>
      <c r="D33" s="585" t="s">
        <v>1545</v>
      </c>
      <c r="E33" s="586">
        <v>5</v>
      </c>
      <c r="F33" s="587">
        <v>3</v>
      </c>
      <c r="G33" s="587">
        <v>10</v>
      </c>
    </row>
    <row r="34" spans="1:13" x14ac:dyDescent="0.25">
      <c r="A34" s="655" t="s">
        <v>18</v>
      </c>
      <c r="B34" s="655" t="s">
        <v>1608</v>
      </c>
      <c r="C34" s="89" t="s">
        <v>1606</v>
      </c>
      <c r="D34" s="157">
        <v>0.15</v>
      </c>
      <c r="E34" s="643">
        <v>0</v>
      </c>
      <c r="F34" s="645">
        <v>0</v>
      </c>
      <c r="G34" s="645">
        <v>0.1</v>
      </c>
      <c r="H34" s="673" t="s">
        <v>1609</v>
      </c>
      <c r="I34" s="674"/>
      <c r="J34" s="674"/>
      <c r="K34" s="674"/>
      <c r="L34" s="674"/>
      <c r="M34" s="674"/>
    </row>
    <row r="35" spans="1:13" x14ac:dyDescent="0.25">
      <c r="A35" s="655"/>
      <c r="B35" s="655"/>
      <c r="C35" s="89" t="s">
        <v>1602</v>
      </c>
      <c r="D35" s="157">
        <v>0.15</v>
      </c>
      <c r="E35" s="643">
        <v>0</v>
      </c>
      <c r="F35" s="645">
        <v>0</v>
      </c>
      <c r="G35" s="645">
        <v>0.1</v>
      </c>
      <c r="H35" s="673"/>
      <c r="I35" s="674"/>
      <c r="J35" s="674"/>
      <c r="K35" s="674"/>
      <c r="L35" s="674"/>
      <c r="M35" s="674"/>
    </row>
    <row r="36" spans="1:13" x14ac:dyDescent="0.25">
      <c r="A36" s="655"/>
      <c r="B36" s="655"/>
      <c r="C36" s="89" t="s">
        <v>1603</v>
      </c>
      <c r="D36" s="157">
        <v>0.15</v>
      </c>
      <c r="E36" s="643">
        <v>0</v>
      </c>
      <c r="F36" s="645">
        <v>0</v>
      </c>
      <c r="G36" s="645">
        <v>0.1</v>
      </c>
      <c r="H36" s="673"/>
      <c r="I36" s="674"/>
      <c r="J36" s="674"/>
      <c r="K36" s="674"/>
      <c r="L36" s="674"/>
      <c r="M36" s="674"/>
    </row>
  </sheetData>
  <mergeCells count="16">
    <mergeCell ref="A34:A36"/>
    <mergeCell ref="B34:B36"/>
    <mergeCell ref="H34:M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E36" sqref="E36"/>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63" t="s">
        <v>142</v>
      </c>
      <c r="B2" s="663" t="s">
        <v>1546</v>
      </c>
      <c r="C2" s="91" t="s">
        <v>6</v>
      </c>
      <c r="D2" s="157">
        <v>0.05</v>
      </c>
      <c r="E2" s="364">
        <v>11.181800000000001</v>
      </c>
      <c r="F2" s="355">
        <f>E2-E2*D2</f>
        <v>10.622710000000001</v>
      </c>
      <c r="G2" s="355">
        <f>E2+E2*D2</f>
        <v>11.74089</v>
      </c>
    </row>
    <row r="3" spans="1:7" x14ac:dyDescent="0.25">
      <c r="A3" s="663"/>
      <c r="B3" s="663"/>
      <c r="C3" s="91" t="s">
        <v>5</v>
      </c>
      <c r="D3" s="157">
        <v>0.05</v>
      </c>
      <c r="E3" s="364">
        <v>25.923200000000001</v>
      </c>
      <c r="F3" s="355">
        <f t="shared" ref="F3:F26" si="0">E3-E3*D3</f>
        <v>24.627040000000001</v>
      </c>
      <c r="G3" s="355">
        <f t="shared" ref="G3:G26" si="1">E3+E3*D3</f>
        <v>27.219360000000002</v>
      </c>
    </row>
    <row r="4" spans="1:7" x14ac:dyDescent="0.25">
      <c r="A4" s="663"/>
      <c r="B4" s="663" t="s">
        <v>1537</v>
      </c>
      <c r="C4" s="91" t="s">
        <v>1534</v>
      </c>
      <c r="D4" s="157">
        <v>0.1</v>
      </c>
      <c r="E4" s="364">
        <v>0.42388199999999998</v>
      </c>
      <c r="F4" s="355">
        <f t="shared" si="0"/>
        <v>0.38149379999999999</v>
      </c>
      <c r="G4" s="355">
        <f t="shared" si="1"/>
        <v>0.46627019999999997</v>
      </c>
    </row>
    <row r="5" spans="1:7" x14ac:dyDescent="0.25">
      <c r="A5" s="663"/>
      <c r="B5" s="663"/>
      <c r="C5" s="91" t="s">
        <v>37</v>
      </c>
      <c r="D5" s="157">
        <v>0.15</v>
      </c>
      <c r="E5" s="364">
        <v>7.0000000000000001E-3</v>
      </c>
      <c r="F5" s="355">
        <f t="shared" si="0"/>
        <v>5.9500000000000004E-3</v>
      </c>
      <c r="G5" s="355">
        <f t="shared" si="1"/>
        <v>8.0499999999999999E-3</v>
      </c>
    </row>
    <row r="6" spans="1:7" x14ac:dyDescent="0.25">
      <c r="A6" s="663"/>
      <c r="B6" s="663"/>
      <c r="C6" s="91" t="s">
        <v>38</v>
      </c>
      <c r="D6" s="157">
        <v>0.15</v>
      </c>
      <c r="E6" s="364">
        <v>3.8262399999999998E-3</v>
      </c>
      <c r="F6" s="355">
        <f t="shared" si="0"/>
        <v>3.2523040000000001E-3</v>
      </c>
      <c r="G6" s="355">
        <f t="shared" si="1"/>
        <v>4.4001759999999996E-3</v>
      </c>
    </row>
    <row r="7" spans="1:7" x14ac:dyDescent="0.25">
      <c r="A7" s="663"/>
      <c r="B7" s="663"/>
      <c r="C7" s="91" t="s">
        <v>1533</v>
      </c>
      <c r="D7" s="157">
        <v>0.1</v>
      </c>
      <c r="E7" s="364">
        <v>0.38500000000000001</v>
      </c>
      <c r="F7" s="355">
        <f t="shared" si="0"/>
        <v>0.34650000000000003</v>
      </c>
      <c r="G7" s="355">
        <f t="shared" si="1"/>
        <v>0.42349999999999999</v>
      </c>
    </row>
    <row r="8" spans="1:7" x14ac:dyDescent="0.25">
      <c r="A8" s="663"/>
      <c r="B8" s="663" t="s">
        <v>1547</v>
      </c>
      <c r="C8" s="91" t="s">
        <v>39</v>
      </c>
      <c r="D8" s="157">
        <v>0.1</v>
      </c>
      <c r="E8" s="581">
        <v>0.35711199999999999</v>
      </c>
      <c r="F8" s="355">
        <f t="shared" si="0"/>
        <v>0.32140079999999999</v>
      </c>
      <c r="G8" s="355">
        <f t="shared" si="1"/>
        <v>0.39282319999999998</v>
      </c>
    </row>
    <row r="9" spans="1:7" x14ac:dyDescent="0.25">
      <c r="A9" s="663"/>
      <c r="B9" s="663"/>
      <c r="C9" s="91" t="s">
        <v>40</v>
      </c>
      <c r="D9" s="157">
        <v>0.1</v>
      </c>
      <c r="E9" s="581">
        <v>0.93744499999999997</v>
      </c>
      <c r="F9" s="355">
        <f t="shared" si="0"/>
        <v>0.84370049999999996</v>
      </c>
      <c r="G9" s="355">
        <f t="shared" si="1"/>
        <v>1.0311895</v>
      </c>
    </row>
    <row r="10" spans="1:7" x14ac:dyDescent="0.25">
      <c r="A10" s="663" t="s">
        <v>1542</v>
      </c>
      <c r="B10" s="663" t="s">
        <v>1548</v>
      </c>
      <c r="C10" s="89" t="s">
        <v>44</v>
      </c>
      <c r="D10" s="157">
        <v>0.1</v>
      </c>
      <c r="E10" s="581">
        <v>1.84E-6</v>
      </c>
      <c r="F10" s="355">
        <f t="shared" si="0"/>
        <v>1.6559999999999999E-6</v>
      </c>
      <c r="G10" s="355">
        <f t="shared" si="1"/>
        <v>2.024E-6</v>
      </c>
    </row>
    <row r="11" spans="1:7" x14ac:dyDescent="0.25">
      <c r="A11" s="663"/>
      <c r="B11" s="663"/>
      <c r="C11" s="91" t="s">
        <v>50</v>
      </c>
      <c r="D11" s="157">
        <v>0.15</v>
      </c>
      <c r="E11" s="581">
        <v>2.5</v>
      </c>
      <c r="F11" s="355">
        <f t="shared" si="0"/>
        <v>2.125</v>
      </c>
      <c r="G11" s="355">
        <f t="shared" si="1"/>
        <v>2.875</v>
      </c>
    </row>
    <row r="12" spans="1:7" x14ac:dyDescent="0.25">
      <c r="A12" s="663"/>
      <c r="B12" s="663"/>
      <c r="C12" s="530" t="s">
        <v>1492</v>
      </c>
      <c r="D12" s="157">
        <v>0.15</v>
      </c>
      <c r="E12" s="581">
        <v>3.75</v>
      </c>
      <c r="F12" s="355">
        <f t="shared" si="0"/>
        <v>3.1875</v>
      </c>
      <c r="G12" s="355">
        <f t="shared" si="1"/>
        <v>4.3125</v>
      </c>
    </row>
    <row r="13" spans="1:7" x14ac:dyDescent="0.25">
      <c r="A13" s="663"/>
      <c r="B13" s="663"/>
      <c r="C13" s="530" t="s">
        <v>1493</v>
      </c>
      <c r="D13" s="157">
        <v>0.15</v>
      </c>
      <c r="E13" s="581">
        <v>1.5</v>
      </c>
      <c r="F13" s="355">
        <f t="shared" si="0"/>
        <v>1.2749999999999999</v>
      </c>
      <c r="G13" s="355">
        <f t="shared" si="1"/>
        <v>1.7250000000000001</v>
      </c>
    </row>
    <row r="14" spans="1:7" x14ac:dyDescent="0.25">
      <c r="A14" s="663"/>
      <c r="B14" s="663"/>
      <c r="C14" s="530" t="s">
        <v>1494</v>
      </c>
      <c r="D14" s="157">
        <v>0.15</v>
      </c>
      <c r="E14" s="581">
        <v>3.75</v>
      </c>
      <c r="F14" s="355">
        <f t="shared" si="0"/>
        <v>3.1875</v>
      </c>
      <c r="G14" s="355">
        <f t="shared" si="1"/>
        <v>4.3125</v>
      </c>
    </row>
    <row r="15" spans="1:7" x14ac:dyDescent="0.25">
      <c r="A15" s="663"/>
      <c r="B15" s="663" t="s">
        <v>1538</v>
      </c>
      <c r="C15" s="89" t="s">
        <v>71</v>
      </c>
      <c r="D15" s="157">
        <v>0.15</v>
      </c>
      <c r="E15" s="581">
        <v>3.2000000000000001E-2</v>
      </c>
      <c r="F15" s="355">
        <f t="shared" si="0"/>
        <v>2.7200000000000002E-2</v>
      </c>
      <c r="G15" s="355">
        <f t="shared" si="1"/>
        <v>3.6799999999999999E-2</v>
      </c>
    </row>
    <row r="16" spans="1:7" x14ac:dyDescent="0.25">
      <c r="A16" s="663"/>
      <c r="B16" s="663"/>
      <c r="C16" s="89" t="s">
        <v>75</v>
      </c>
      <c r="D16" s="157">
        <v>0.15</v>
      </c>
      <c r="E16" s="581">
        <v>0.03</v>
      </c>
      <c r="F16" s="355">
        <f t="shared" si="0"/>
        <v>2.5499999999999998E-2</v>
      </c>
      <c r="G16" s="355">
        <f t="shared" si="1"/>
        <v>3.4499999999999996E-2</v>
      </c>
    </row>
    <row r="17" spans="1:7" x14ac:dyDescent="0.25">
      <c r="A17" s="663"/>
      <c r="B17" s="663"/>
      <c r="C17" s="89" t="s">
        <v>79</v>
      </c>
      <c r="D17" s="157">
        <v>0.15</v>
      </c>
      <c r="E17" s="581">
        <v>0.29749999999999999</v>
      </c>
      <c r="F17" s="355">
        <f t="shared" si="0"/>
        <v>0.25287499999999996</v>
      </c>
      <c r="G17" s="355">
        <f t="shared" si="1"/>
        <v>0.34212500000000001</v>
      </c>
    </row>
    <row r="18" spans="1:7" x14ac:dyDescent="0.25">
      <c r="A18" s="663"/>
      <c r="B18" s="663"/>
      <c r="C18" s="93" t="s">
        <v>1495</v>
      </c>
      <c r="D18" s="157">
        <v>0.15</v>
      </c>
      <c r="E18" s="581">
        <v>16800000000</v>
      </c>
      <c r="F18" s="355">
        <f t="shared" si="0"/>
        <v>14280000000</v>
      </c>
      <c r="G18" s="355">
        <f t="shared" si="1"/>
        <v>19320000000</v>
      </c>
    </row>
    <row r="19" spans="1:7" x14ac:dyDescent="0.25">
      <c r="A19" s="663"/>
      <c r="B19" s="663"/>
      <c r="C19" s="93" t="s">
        <v>1496</v>
      </c>
      <c r="D19" s="157">
        <v>0.15</v>
      </c>
      <c r="E19" s="581">
        <v>2500</v>
      </c>
      <c r="F19" s="355">
        <f t="shared" si="0"/>
        <v>2125</v>
      </c>
      <c r="G19" s="355">
        <f t="shared" si="1"/>
        <v>2875</v>
      </c>
    </row>
    <row r="20" spans="1:7" x14ac:dyDescent="0.25">
      <c r="A20" s="663"/>
      <c r="B20" s="663" t="s">
        <v>1549</v>
      </c>
      <c r="C20" s="91" t="s">
        <v>56</v>
      </c>
      <c r="D20" s="157">
        <v>0.15</v>
      </c>
      <c r="E20" s="581">
        <v>1.8</v>
      </c>
      <c r="F20" s="355">
        <f t="shared" si="0"/>
        <v>1.53</v>
      </c>
      <c r="G20" s="355">
        <f t="shared" si="1"/>
        <v>2.0700000000000003</v>
      </c>
    </row>
    <row r="21" spans="1:7" x14ac:dyDescent="0.25">
      <c r="A21" s="663"/>
      <c r="B21" s="663"/>
      <c r="C21" s="89" t="s">
        <v>61</v>
      </c>
      <c r="D21" s="157">
        <v>0.15</v>
      </c>
      <c r="E21" s="581">
        <v>18000000</v>
      </c>
      <c r="F21" s="355">
        <f t="shared" si="0"/>
        <v>15300000</v>
      </c>
      <c r="G21" s="355">
        <f t="shared" si="1"/>
        <v>20700000</v>
      </c>
    </row>
    <row r="22" spans="1:7" ht="30" x14ac:dyDescent="0.25">
      <c r="A22" s="663" t="s">
        <v>1541</v>
      </c>
      <c r="B22" s="583" t="s">
        <v>1539</v>
      </c>
      <c r="C22" s="89" t="s">
        <v>88</v>
      </c>
      <c r="D22" s="157">
        <v>0.1</v>
      </c>
      <c r="E22" s="581">
        <v>0.95</v>
      </c>
      <c r="F22" s="355">
        <f t="shared" si="0"/>
        <v>0.85499999999999998</v>
      </c>
      <c r="G22" s="355">
        <v>1</v>
      </c>
    </row>
    <row r="23" spans="1:7" x14ac:dyDescent="0.25">
      <c r="A23" s="663"/>
      <c r="B23" s="672" t="s">
        <v>168</v>
      </c>
      <c r="C23" s="91" t="s">
        <v>109</v>
      </c>
      <c r="D23" s="157">
        <v>0.15</v>
      </c>
      <c r="E23" s="581">
        <v>6.3E-2</v>
      </c>
      <c r="F23" s="355">
        <f t="shared" si="0"/>
        <v>5.355E-2</v>
      </c>
      <c r="G23" s="355">
        <f t="shared" si="1"/>
        <v>7.2450000000000001E-2</v>
      </c>
    </row>
    <row r="24" spans="1:7" x14ac:dyDescent="0.25">
      <c r="A24" s="663"/>
      <c r="B24" s="672"/>
      <c r="C24" s="89" t="s">
        <v>107</v>
      </c>
      <c r="D24" s="157">
        <v>0.15</v>
      </c>
      <c r="E24" s="581">
        <v>0.27</v>
      </c>
      <c r="F24" s="355">
        <f t="shared" si="0"/>
        <v>0.22950000000000001</v>
      </c>
      <c r="G24" s="355">
        <f t="shared" si="1"/>
        <v>0.3105</v>
      </c>
    </row>
    <row r="25" spans="1:7" x14ac:dyDescent="0.25">
      <c r="A25" s="663"/>
      <c r="B25" s="583" t="s">
        <v>1540</v>
      </c>
      <c r="C25" s="91" t="s">
        <v>116</v>
      </c>
      <c r="D25" s="157">
        <v>0.15</v>
      </c>
      <c r="E25" s="581">
        <v>0.95</v>
      </c>
      <c r="F25" s="355">
        <f t="shared" si="0"/>
        <v>0.8075</v>
      </c>
      <c r="G25" s="355">
        <f t="shared" si="1"/>
        <v>1.0925</v>
      </c>
    </row>
    <row r="26" spans="1:7" x14ac:dyDescent="0.25">
      <c r="A26" s="663"/>
      <c r="B26" s="663" t="s">
        <v>1523</v>
      </c>
      <c r="C26" s="91" t="s">
        <v>120</v>
      </c>
      <c r="D26" s="157">
        <v>0.05</v>
      </c>
      <c r="E26" s="581">
        <v>1756.23</v>
      </c>
      <c r="F26" s="355">
        <f t="shared" si="0"/>
        <v>1668.4185</v>
      </c>
      <c r="G26" s="355">
        <f t="shared" si="1"/>
        <v>1844.0415</v>
      </c>
    </row>
    <row r="27" spans="1:7" x14ac:dyDescent="0.25">
      <c r="A27" s="663"/>
      <c r="B27" s="663"/>
      <c r="C27" s="584" t="s">
        <v>134</v>
      </c>
      <c r="D27" s="585" t="s">
        <v>1545</v>
      </c>
      <c r="E27" s="586">
        <v>1</v>
      </c>
      <c r="F27" s="587">
        <v>0</v>
      </c>
      <c r="G27" s="587">
        <v>1.99</v>
      </c>
    </row>
    <row r="28" spans="1:7" x14ac:dyDescent="0.25">
      <c r="A28" s="664" t="s">
        <v>1544</v>
      </c>
      <c r="B28" s="659" t="s">
        <v>1543</v>
      </c>
      <c r="C28" s="588" t="s">
        <v>1190</v>
      </c>
      <c r="D28" s="585" t="s">
        <v>1545</v>
      </c>
      <c r="E28" s="586">
        <v>5</v>
      </c>
      <c r="F28" s="587">
        <v>3</v>
      </c>
      <c r="G28" s="587">
        <v>10</v>
      </c>
    </row>
    <row r="29" spans="1:7" x14ac:dyDescent="0.25">
      <c r="A29" s="664"/>
      <c r="B29" s="659"/>
      <c r="C29" s="588" t="s">
        <v>1191</v>
      </c>
      <c r="D29" s="585" t="s">
        <v>1545</v>
      </c>
      <c r="E29" s="586">
        <v>5</v>
      </c>
      <c r="F29" s="587">
        <v>3</v>
      </c>
      <c r="G29" s="587">
        <v>10</v>
      </c>
    </row>
    <row r="30" spans="1:7" x14ac:dyDescent="0.25">
      <c r="A30" s="664"/>
      <c r="B30" s="659"/>
      <c r="C30" s="588" t="s">
        <v>1192</v>
      </c>
      <c r="D30" s="585" t="s">
        <v>1545</v>
      </c>
      <c r="E30" s="586">
        <v>5</v>
      </c>
      <c r="F30" s="587">
        <v>3</v>
      </c>
      <c r="G30" s="587">
        <v>10</v>
      </c>
    </row>
    <row r="31" spans="1:7" x14ac:dyDescent="0.25">
      <c r="A31" s="664"/>
      <c r="B31" s="659"/>
      <c r="C31" s="588" t="s">
        <v>1193</v>
      </c>
      <c r="D31" s="585" t="s">
        <v>1545</v>
      </c>
      <c r="E31" s="586">
        <v>5</v>
      </c>
      <c r="F31" s="587">
        <v>3</v>
      </c>
      <c r="G31" s="587">
        <v>10</v>
      </c>
    </row>
    <row r="32" spans="1:7" x14ac:dyDescent="0.25">
      <c r="A32" s="664"/>
      <c r="B32" s="659"/>
      <c r="C32" s="588" t="s">
        <v>1194</v>
      </c>
      <c r="D32" s="585" t="s">
        <v>1545</v>
      </c>
      <c r="E32" s="586">
        <v>5</v>
      </c>
      <c r="F32" s="587">
        <v>3</v>
      </c>
      <c r="G32" s="587">
        <v>10</v>
      </c>
    </row>
    <row r="33" spans="1:7" x14ac:dyDescent="0.25">
      <c r="A33" s="664"/>
      <c r="B33" s="659"/>
      <c r="C33" s="588" t="s">
        <v>1195</v>
      </c>
      <c r="D33" s="585" t="s">
        <v>1545</v>
      </c>
      <c r="E33" s="586">
        <v>5</v>
      </c>
      <c r="F33" s="587">
        <v>3</v>
      </c>
      <c r="G33" s="587">
        <v>10</v>
      </c>
    </row>
    <row r="34" spans="1:7" ht="15" customHeight="1" x14ac:dyDescent="0.25">
      <c r="A34" s="655" t="s">
        <v>18</v>
      </c>
      <c r="B34" s="655" t="s">
        <v>1608</v>
      </c>
      <c r="C34" s="89" t="s">
        <v>1606</v>
      </c>
      <c r="D34" s="157">
        <v>0.15</v>
      </c>
      <c r="E34" s="581">
        <v>3</v>
      </c>
      <c r="F34" s="355">
        <f>E34-E34*D34</f>
        <v>2.5499999999999998</v>
      </c>
      <c r="G34" s="355">
        <f>E34+E34*D34</f>
        <v>3.45</v>
      </c>
    </row>
    <row r="35" spans="1:7" x14ac:dyDescent="0.25">
      <c r="A35" s="655"/>
      <c r="B35" s="655"/>
      <c r="C35" s="89" t="s">
        <v>1602</v>
      </c>
      <c r="D35" s="157">
        <v>0.15</v>
      </c>
      <c r="E35" s="581">
        <v>0.03</v>
      </c>
      <c r="F35" s="355">
        <f>E35-E35*D35</f>
        <v>2.5499999999999998E-2</v>
      </c>
      <c r="G35" s="355">
        <f>E35+E35*D35</f>
        <v>3.4499999999999996E-2</v>
      </c>
    </row>
    <row r="36" spans="1:7" x14ac:dyDescent="0.25">
      <c r="A36" s="655"/>
      <c r="B36" s="655"/>
      <c r="C36" s="89" t="s">
        <v>1603</v>
      </c>
      <c r="D36" s="157">
        <v>0.15</v>
      </c>
      <c r="E36" s="581">
        <v>2000000</v>
      </c>
      <c r="F36" s="355">
        <f>E36-E36*D36</f>
        <v>1700000</v>
      </c>
      <c r="G36" s="355">
        <f>E36+E36*D36</f>
        <v>2300000</v>
      </c>
    </row>
  </sheetData>
  <mergeCells count="15">
    <mergeCell ref="B34:B36"/>
    <mergeCell ref="A34:A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topLeftCell="A91" workbookViewId="0">
      <selection activeCell="B91" sqref="B91"/>
    </sheetView>
  </sheetViews>
  <sheetFormatPr defaultColWidth="9" defaultRowHeight="14.25" x14ac:dyDescent="0.2"/>
  <cols>
    <col min="1" max="1" width="17.5703125" style="17" customWidth="1"/>
    <col min="2" max="2" width="38.85546875" style="18" customWidth="1"/>
    <col min="3" max="3" width="12.7109375" style="18" bestFit="1" customWidth="1"/>
    <col min="4" max="4" width="10.5703125" style="18" customWidth="1"/>
    <col min="5" max="5" width="11.28515625" style="18" customWidth="1"/>
    <col min="6" max="6" width="14.5703125" style="17" customWidth="1"/>
    <col min="7" max="16384" width="9" style="17"/>
  </cols>
  <sheetData>
    <row r="1" spans="1:11" s="15" customFormat="1" ht="15" x14ac:dyDescent="0.25">
      <c r="A1" s="2" t="s">
        <v>8</v>
      </c>
      <c r="B1" s="2" t="s">
        <v>3</v>
      </c>
      <c r="C1" s="2" t="s">
        <v>0</v>
      </c>
      <c r="D1" s="2" t="s">
        <v>1</v>
      </c>
      <c r="E1" s="2" t="s">
        <v>2</v>
      </c>
    </row>
    <row r="2" spans="1:11" s="15" customFormat="1" ht="20.25" customHeight="1" x14ac:dyDescent="0.25">
      <c r="A2" s="653" t="s">
        <v>9</v>
      </c>
      <c r="B2" s="14" t="s">
        <v>7</v>
      </c>
      <c r="C2" s="15">
        <v>0.51500000000000001</v>
      </c>
      <c r="D2" s="553">
        <f>C2-0.15*C2</f>
        <v>0.43775000000000003</v>
      </c>
      <c r="E2" s="553">
        <f>C2+C2*0.15</f>
        <v>0.59225000000000005</v>
      </c>
    </row>
    <row r="3" spans="1:11" s="15" customFormat="1" ht="13.5" customHeight="1" x14ac:dyDescent="0.25">
      <c r="A3" s="653"/>
      <c r="B3" s="14" t="s">
        <v>6</v>
      </c>
      <c r="C3" s="15">
        <v>12</v>
      </c>
      <c r="D3" s="553">
        <f>C3-0.15*C3</f>
        <v>10.199999999999999</v>
      </c>
      <c r="E3" s="553">
        <f>C3+C3*0.15</f>
        <v>13.8</v>
      </c>
      <c r="G3" s="16"/>
      <c r="H3" s="16"/>
      <c r="I3" s="16"/>
      <c r="J3" s="16"/>
      <c r="K3" s="16"/>
    </row>
    <row r="4" spans="1:11" s="15" customFormat="1" ht="13.5" customHeight="1" x14ac:dyDescent="0.25">
      <c r="A4" s="653"/>
      <c r="B4" s="14" t="s">
        <v>5</v>
      </c>
      <c r="C4" s="15">
        <v>28</v>
      </c>
      <c r="D4" s="553">
        <f>C4-0.15*C4</f>
        <v>23.8</v>
      </c>
      <c r="E4" s="553">
        <f>C4+C4*0.15</f>
        <v>32.200000000000003</v>
      </c>
      <c r="G4" s="16"/>
      <c r="H4" s="16"/>
      <c r="I4" s="16"/>
      <c r="J4" s="16"/>
      <c r="K4" s="16"/>
    </row>
    <row r="5" spans="1:11" s="15" customFormat="1" ht="13.5" customHeight="1" x14ac:dyDescent="0.25">
      <c r="A5" s="653"/>
      <c r="B5" s="9" t="s">
        <v>33</v>
      </c>
      <c r="C5" s="10">
        <v>0</v>
      </c>
      <c r="D5" s="10">
        <f t="shared" ref="D5:E10" si="0">F5/2</f>
        <v>-4.2500000000000003E-3</v>
      </c>
      <c r="E5" s="10">
        <f t="shared" si="0"/>
        <v>1.75E-3</v>
      </c>
      <c r="F5" s="553">
        <v>-8.5000000000000006E-3</v>
      </c>
      <c r="G5" s="553">
        <v>3.5000000000000001E-3</v>
      </c>
      <c r="H5" s="16"/>
      <c r="I5" s="16"/>
      <c r="J5" s="16"/>
      <c r="K5" s="16"/>
    </row>
    <row r="6" spans="1:11" s="15" customFormat="1" ht="13.5" customHeight="1" x14ac:dyDescent="0.25">
      <c r="A6" s="653"/>
      <c r="B6" s="9" t="s">
        <v>34</v>
      </c>
      <c r="C6" s="10">
        <v>0</v>
      </c>
      <c r="D6" s="534">
        <f t="shared" si="0"/>
        <v>-4.2500000000000003E-3</v>
      </c>
      <c r="E6" s="534">
        <f t="shared" si="0"/>
        <v>1.75E-3</v>
      </c>
      <c r="F6" s="553">
        <v>-8.5000000000000006E-3</v>
      </c>
      <c r="G6" s="553">
        <v>3.5000000000000001E-3</v>
      </c>
      <c r="H6" s="16"/>
      <c r="I6" s="16"/>
      <c r="J6" s="16"/>
      <c r="K6" s="16"/>
    </row>
    <row r="7" spans="1:11" s="15" customFormat="1" ht="28.5" x14ac:dyDescent="0.25">
      <c r="A7" s="653"/>
      <c r="B7" s="9" t="s">
        <v>35</v>
      </c>
      <c r="C7" s="10">
        <v>0.01</v>
      </c>
      <c r="D7" s="534">
        <f t="shared" si="0"/>
        <v>-2.5000000000000001E-3</v>
      </c>
      <c r="E7" s="534">
        <f t="shared" si="0"/>
        <v>5.0000000000000001E-3</v>
      </c>
      <c r="F7" s="553">
        <v>-5.0000000000000001E-3</v>
      </c>
      <c r="G7" s="553">
        <v>0.01</v>
      </c>
      <c r="H7" s="16"/>
      <c r="I7" s="16"/>
      <c r="J7" s="16"/>
      <c r="K7" s="16"/>
    </row>
    <row r="8" spans="1:11" s="15" customFormat="1" ht="28.5" x14ac:dyDescent="0.25">
      <c r="A8" s="653"/>
      <c r="B8" s="9" t="s">
        <v>36</v>
      </c>
      <c r="C8" s="10">
        <v>5.0000000000000001E-3</v>
      </c>
      <c r="D8" s="534">
        <f t="shared" si="0"/>
        <v>-2.5000000000000001E-3</v>
      </c>
      <c r="E8" s="534">
        <f t="shared" si="0"/>
        <v>2.5000000000000001E-3</v>
      </c>
      <c r="F8" s="553">
        <v>-5.0000000000000001E-3</v>
      </c>
      <c r="G8" s="553">
        <v>5.0000000000000001E-3</v>
      </c>
      <c r="H8" s="16"/>
      <c r="I8" s="16"/>
      <c r="J8" s="16"/>
      <c r="K8" s="16"/>
    </row>
    <row r="9" spans="1:11" s="15" customFormat="1" ht="13.5" customHeight="1" x14ac:dyDescent="0.25">
      <c r="A9" s="653"/>
      <c r="B9" s="9" t="s">
        <v>37</v>
      </c>
      <c r="C9" s="10">
        <v>0</v>
      </c>
      <c r="D9" s="534">
        <f t="shared" si="0"/>
        <v>-5.0000000000000001E-4</v>
      </c>
      <c r="E9" s="534">
        <f t="shared" si="0"/>
        <v>3.5000000000000001E-3</v>
      </c>
      <c r="F9" s="553">
        <v>-1E-3</v>
      </c>
      <c r="G9" s="553">
        <v>7.0000000000000001E-3</v>
      </c>
      <c r="H9" s="16"/>
      <c r="I9" s="16"/>
      <c r="J9" s="16"/>
      <c r="K9" s="16"/>
    </row>
    <row r="10" spans="1:11" s="15" customFormat="1" ht="13.5" customHeight="1" x14ac:dyDescent="0.25">
      <c r="A10" s="653"/>
      <c r="B10" s="9" t="s">
        <v>38</v>
      </c>
      <c r="C10" s="10">
        <v>0</v>
      </c>
      <c r="D10" s="534">
        <f t="shared" si="0"/>
        <v>-5.0000000000000001E-4</v>
      </c>
      <c r="E10" s="534">
        <f t="shared" si="0"/>
        <v>2.5000000000000001E-3</v>
      </c>
      <c r="F10" s="553">
        <v>-1E-3</v>
      </c>
      <c r="G10" s="553">
        <v>5.0000000000000001E-3</v>
      </c>
      <c r="H10" s="16"/>
      <c r="I10" s="16"/>
      <c r="J10" s="16"/>
      <c r="K10" s="16"/>
    </row>
    <row r="11" spans="1:11" s="549" customFormat="1" ht="13.5" customHeight="1" x14ac:dyDescent="0.25">
      <c r="A11" s="548"/>
      <c r="B11" s="552" t="s">
        <v>1534</v>
      </c>
      <c r="C11" s="553">
        <v>0.6</v>
      </c>
      <c r="D11" s="553">
        <f t="shared" ref="D11:D74" si="1">C11-0.15*C11</f>
        <v>0.51</v>
      </c>
      <c r="E11" s="553">
        <f>C11+C11*0.15</f>
        <v>0.69</v>
      </c>
      <c r="G11" s="16"/>
      <c r="H11" s="16"/>
      <c r="I11" s="16"/>
      <c r="J11" s="16"/>
      <c r="K11" s="16"/>
    </row>
    <row r="12" spans="1:11" s="549" customFormat="1" ht="13.5" customHeight="1" x14ac:dyDescent="0.25">
      <c r="A12" s="548"/>
      <c r="B12" s="552" t="s">
        <v>1533</v>
      </c>
      <c r="C12" s="553">
        <v>0.77</v>
      </c>
      <c r="D12" s="553">
        <f t="shared" si="1"/>
        <v>0.65450000000000008</v>
      </c>
      <c r="E12" s="553">
        <f t="shared" ref="E12:E29" si="2">C12+C12*0.15</f>
        <v>0.88549999999999995</v>
      </c>
      <c r="G12" s="16"/>
      <c r="H12" s="16"/>
      <c r="I12" s="16"/>
      <c r="J12" s="16"/>
      <c r="K12" s="16"/>
    </row>
    <row r="13" spans="1:11" s="15" customFormat="1" ht="13.5" customHeight="1" x14ac:dyDescent="0.25">
      <c r="A13" s="653" t="s">
        <v>10</v>
      </c>
      <c r="B13" s="14" t="s">
        <v>39</v>
      </c>
      <c r="C13" s="497">
        <v>0.42499999999999999</v>
      </c>
      <c r="D13" s="553">
        <f t="shared" si="1"/>
        <v>0.36124999999999996</v>
      </c>
      <c r="E13" s="553">
        <f t="shared" si="2"/>
        <v>0.48875000000000002</v>
      </c>
    </row>
    <row r="14" spans="1:11" s="15" customFormat="1" ht="13.5" customHeight="1" x14ac:dyDescent="0.25">
      <c r="A14" s="653"/>
      <c r="B14" s="14" t="s">
        <v>40</v>
      </c>
      <c r="C14" s="15">
        <v>0.75</v>
      </c>
      <c r="D14" s="553">
        <f t="shared" si="1"/>
        <v>0.63749999999999996</v>
      </c>
      <c r="E14" s="553">
        <f t="shared" si="2"/>
        <v>0.86250000000000004</v>
      </c>
    </row>
    <row r="15" spans="1:11" s="15" customFormat="1" ht="28.5" x14ac:dyDescent="0.25">
      <c r="A15" s="653"/>
      <c r="B15" s="14" t="s">
        <v>41</v>
      </c>
      <c r="C15" s="15">
        <v>6</v>
      </c>
      <c r="D15" s="553">
        <f t="shared" si="1"/>
        <v>5.0999999999999996</v>
      </c>
      <c r="E15" s="553">
        <f t="shared" si="2"/>
        <v>6.9</v>
      </c>
    </row>
    <row r="16" spans="1:11" s="15" customFormat="1" ht="28.5" x14ac:dyDescent="0.25">
      <c r="A16" s="653"/>
      <c r="B16" s="14" t="s">
        <v>42</v>
      </c>
      <c r="C16" s="15">
        <v>50</v>
      </c>
      <c r="D16" s="553">
        <f t="shared" si="1"/>
        <v>42.5</v>
      </c>
      <c r="E16" s="553">
        <f t="shared" si="2"/>
        <v>57.5</v>
      </c>
    </row>
    <row r="17" spans="1:5" s="15" customFormat="1" ht="13.5" customHeight="1" x14ac:dyDescent="0.25">
      <c r="A17" s="653"/>
      <c r="B17" s="14" t="s">
        <v>43</v>
      </c>
      <c r="C17" s="15">
        <v>100</v>
      </c>
      <c r="D17" s="553">
        <f t="shared" si="1"/>
        <v>85</v>
      </c>
      <c r="E17" s="553">
        <f t="shared" si="2"/>
        <v>115</v>
      </c>
    </row>
    <row r="18" spans="1:5" s="15" customFormat="1" ht="13.5" customHeight="1" x14ac:dyDescent="0.25">
      <c r="A18" s="653" t="s">
        <v>11</v>
      </c>
      <c r="B18" s="14" t="s">
        <v>44</v>
      </c>
      <c r="C18" s="15">
        <v>1.9999999999999999E-6</v>
      </c>
      <c r="D18" s="553">
        <f t="shared" si="1"/>
        <v>1.6999999999999998E-6</v>
      </c>
      <c r="E18" s="553">
        <f t="shared" si="2"/>
        <v>2.3E-6</v>
      </c>
    </row>
    <row r="19" spans="1:5" s="15" customFormat="1" ht="13.5" customHeight="1" x14ac:dyDescent="0.25">
      <c r="A19" s="653"/>
      <c r="B19" s="14" t="s">
        <v>45</v>
      </c>
      <c r="C19" s="15">
        <v>0.6</v>
      </c>
      <c r="D19" s="553">
        <f t="shared" si="1"/>
        <v>0.51</v>
      </c>
      <c r="E19" s="553">
        <f t="shared" si="2"/>
        <v>0.69</v>
      </c>
    </row>
    <row r="20" spans="1:5" s="15" customFormat="1" ht="13.5" customHeight="1" x14ac:dyDescent="0.25">
      <c r="A20" s="653"/>
      <c r="B20" s="14" t="s">
        <v>46</v>
      </c>
      <c r="C20" s="15">
        <v>0.54</v>
      </c>
      <c r="D20" s="553">
        <f t="shared" si="1"/>
        <v>0.45900000000000002</v>
      </c>
      <c r="E20" s="553">
        <f t="shared" si="2"/>
        <v>0.621</v>
      </c>
    </row>
    <row r="21" spans="1:5" s="15" customFormat="1" ht="28.5" x14ac:dyDescent="0.25">
      <c r="A21" s="653"/>
      <c r="B21" s="14" t="s">
        <v>47</v>
      </c>
      <c r="C21" s="15">
        <v>0.89</v>
      </c>
      <c r="D21" s="553">
        <f t="shared" si="1"/>
        <v>0.75649999999999995</v>
      </c>
      <c r="E21" s="553">
        <f t="shared" si="2"/>
        <v>1.0235000000000001</v>
      </c>
    </row>
    <row r="22" spans="1:5" s="15" customFormat="1" ht="28.5" x14ac:dyDescent="0.25">
      <c r="A22" s="653"/>
      <c r="B22" s="14" t="s">
        <v>48</v>
      </c>
      <c r="C22" s="15">
        <v>1</v>
      </c>
      <c r="D22" s="553">
        <f t="shared" si="1"/>
        <v>0.85</v>
      </c>
      <c r="E22" s="553">
        <f t="shared" si="2"/>
        <v>1.1499999999999999</v>
      </c>
    </row>
    <row r="23" spans="1:5" s="15" customFormat="1" ht="28.5" x14ac:dyDescent="0.25">
      <c r="A23" s="653"/>
      <c r="B23" s="6" t="s">
        <v>49</v>
      </c>
      <c r="C23" s="7">
        <v>0.8</v>
      </c>
      <c r="D23" s="553">
        <f t="shared" si="1"/>
        <v>0.68</v>
      </c>
      <c r="E23" s="553">
        <f t="shared" si="2"/>
        <v>0.92</v>
      </c>
    </row>
    <row r="24" spans="1:5" s="497" customFormat="1" ht="28.5" x14ac:dyDescent="0.25">
      <c r="A24" s="653"/>
      <c r="B24" s="41" t="s">
        <v>1492</v>
      </c>
      <c r="C24" s="45">
        <v>4.5</v>
      </c>
      <c r="D24" s="553">
        <f t="shared" si="1"/>
        <v>3.8250000000000002</v>
      </c>
      <c r="E24" s="553">
        <f t="shared" si="2"/>
        <v>5.1749999999999998</v>
      </c>
    </row>
    <row r="25" spans="1:5" s="497" customFormat="1" ht="28.5" x14ac:dyDescent="0.25">
      <c r="A25" s="653"/>
      <c r="B25" s="41" t="s">
        <v>1493</v>
      </c>
      <c r="C25" s="45">
        <v>3</v>
      </c>
      <c r="D25" s="553">
        <f t="shared" si="1"/>
        <v>2.5499999999999998</v>
      </c>
      <c r="E25" s="553">
        <f t="shared" si="2"/>
        <v>3.45</v>
      </c>
    </row>
    <row r="26" spans="1:5" s="497" customFormat="1" ht="28.5" x14ac:dyDescent="0.25">
      <c r="A26" s="653"/>
      <c r="B26" s="41" t="s">
        <v>1494</v>
      </c>
      <c r="C26" s="45">
        <v>1.5</v>
      </c>
      <c r="D26" s="553">
        <f t="shared" si="1"/>
        <v>1.2749999999999999</v>
      </c>
      <c r="E26" s="553">
        <f t="shared" si="2"/>
        <v>1.7250000000000001</v>
      </c>
    </row>
    <row r="27" spans="1:5" s="15" customFormat="1" ht="28.5" x14ac:dyDescent="0.25">
      <c r="A27" s="653"/>
      <c r="B27" s="6" t="s">
        <v>50</v>
      </c>
      <c r="C27" s="7">
        <v>1</v>
      </c>
      <c r="D27" s="553">
        <f t="shared" si="1"/>
        <v>0.85</v>
      </c>
      <c r="E27" s="553">
        <f t="shared" si="2"/>
        <v>1.1499999999999999</v>
      </c>
    </row>
    <row r="28" spans="1:5" s="15" customFormat="1" ht="28.5" x14ac:dyDescent="0.25">
      <c r="A28" s="653" t="s">
        <v>12</v>
      </c>
      <c r="B28" s="6" t="s">
        <v>51</v>
      </c>
      <c r="C28" s="7">
        <v>7.0000000000000007E-2</v>
      </c>
      <c r="D28" s="553">
        <f t="shared" si="1"/>
        <v>5.9500000000000004E-2</v>
      </c>
      <c r="E28" s="553">
        <f t="shared" si="2"/>
        <v>8.0500000000000002E-2</v>
      </c>
    </row>
    <row r="29" spans="1:5" s="497" customFormat="1" x14ac:dyDescent="0.25">
      <c r="A29" s="653"/>
      <c r="B29" s="6" t="s">
        <v>52</v>
      </c>
      <c r="C29" s="7">
        <v>10</v>
      </c>
      <c r="D29" s="553">
        <f t="shared" si="1"/>
        <v>8.5</v>
      </c>
      <c r="E29" s="553">
        <f t="shared" si="2"/>
        <v>11.5</v>
      </c>
    </row>
    <row r="30" spans="1:5" s="15" customFormat="1" x14ac:dyDescent="0.25">
      <c r="A30" s="653"/>
      <c r="B30" s="9" t="s">
        <v>1061</v>
      </c>
      <c r="C30" s="532">
        <v>0</v>
      </c>
      <c r="D30" s="10">
        <v>0</v>
      </c>
      <c r="E30" s="10">
        <v>1.99</v>
      </c>
    </row>
    <row r="31" spans="1:5" s="15" customFormat="1" x14ac:dyDescent="0.25">
      <c r="A31" s="653" t="s">
        <v>13</v>
      </c>
      <c r="B31" s="6" t="s">
        <v>53</v>
      </c>
      <c r="C31" s="7">
        <v>500000000000</v>
      </c>
      <c r="D31" s="553">
        <f t="shared" si="1"/>
        <v>425000000000</v>
      </c>
      <c r="E31" s="553">
        <f>C31+C31*0.15</f>
        <v>575000000000</v>
      </c>
    </row>
    <row r="32" spans="1:5" s="15" customFormat="1" ht="42.75" x14ac:dyDescent="0.25">
      <c r="A32" s="653"/>
      <c r="B32" s="6" t="s">
        <v>54</v>
      </c>
      <c r="C32" s="7">
        <v>100</v>
      </c>
      <c r="D32" s="553">
        <f t="shared" si="1"/>
        <v>85</v>
      </c>
      <c r="E32" s="553">
        <f t="shared" ref="E32:E69" si="3">C32+C32*0.15</f>
        <v>115</v>
      </c>
    </row>
    <row r="33" spans="1:5" s="15" customFormat="1" ht="28.5" x14ac:dyDescent="0.25">
      <c r="A33" s="653"/>
      <c r="B33" s="6" t="s">
        <v>55</v>
      </c>
      <c r="C33" s="7">
        <v>10</v>
      </c>
      <c r="D33" s="553">
        <f t="shared" si="1"/>
        <v>8.5</v>
      </c>
      <c r="E33" s="553">
        <f t="shared" si="3"/>
        <v>11.5</v>
      </c>
    </row>
    <row r="34" spans="1:5" s="15" customFormat="1" ht="28.5" x14ac:dyDescent="0.25">
      <c r="A34" s="653"/>
      <c r="B34" s="6" t="s">
        <v>56</v>
      </c>
      <c r="C34" s="7">
        <v>2</v>
      </c>
      <c r="D34" s="553">
        <f t="shared" si="1"/>
        <v>1.7</v>
      </c>
      <c r="E34" s="553">
        <f t="shared" si="3"/>
        <v>2.2999999999999998</v>
      </c>
    </row>
    <row r="35" spans="1:5" s="15" customFormat="1" x14ac:dyDescent="0.25">
      <c r="A35" s="653"/>
      <c r="B35" s="6" t="s">
        <v>57</v>
      </c>
      <c r="C35" s="7">
        <v>8000000000000</v>
      </c>
      <c r="D35" s="553">
        <f t="shared" si="1"/>
        <v>6800000000000</v>
      </c>
      <c r="E35" s="553">
        <f t="shared" si="3"/>
        <v>9200000000000</v>
      </c>
    </row>
    <row r="36" spans="1:5" s="15" customFormat="1" ht="28.5" x14ac:dyDescent="0.25">
      <c r="A36" s="653"/>
      <c r="B36" s="6" t="s">
        <v>58</v>
      </c>
      <c r="C36" s="7">
        <v>7</v>
      </c>
      <c r="D36" s="553">
        <f t="shared" si="1"/>
        <v>5.95</v>
      </c>
      <c r="E36" s="553">
        <f t="shared" si="3"/>
        <v>8.0500000000000007</v>
      </c>
    </row>
    <row r="37" spans="1:5" s="15" customFormat="1" ht="28.5" x14ac:dyDescent="0.25">
      <c r="A37" s="653"/>
      <c r="B37" s="6" t="s">
        <v>59</v>
      </c>
      <c r="C37" s="7">
        <v>0.35</v>
      </c>
      <c r="D37" s="553">
        <f t="shared" si="1"/>
        <v>0.29749999999999999</v>
      </c>
      <c r="E37" s="553">
        <f t="shared" si="3"/>
        <v>0.40249999999999997</v>
      </c>
    </row>
    <row r="38" spans="1:5" s="15" customFormat="1" ht="28.5" x14ac:dyDescent="0.25">
      <c r="A38" s="653"/>
      <c r="B38" s="6" t="s">
        <v>60</v>
      </c>
      <c r="C38" s="7">
        <v>0.01</v>
      </c>
      <c r="D38" s="553">
        <f t="shared" si="1"/>
        <v>8.5000000000000006E-3</v>
      </c>
      <c r="E38" s="553">
        <f t="shared" si="3"/>
        <v>1.15E-2</v>
      </c>
    </row>
    <row r="39" spans="1:5" s="15" customFormat="1" ht="28.5" x14ac:dyDescent="0.25">
      <c r="A39" s="653"/>
      <c r="B39" s="6" t="s">
        <v>61</v>
      </c>
      <c r="C39" s="7">
        <v>30000000</v>
      </c>
      <c r="D39" s="553">
        <f t="shared" si="1"/>
        <v>25500000</v>
      </c>
      <c r="E39" s="553">
        <f t="shared" si="3"/>
        <v>34500000</v>
      </c>
    </row>
    <row r="40" spans="1:5" s="15" customFormat="1" ht="28.5" x14ac:dyDescent="0.25">
      <c r="A40" s="653"/>
      <c r="B40" s="6" t="s">
        <v>62</v>
      </c>
      <c r="C40" s="7">
        <v>3.1699999999999999E-7</v>
      </c>
      <c r="D40" s="553">
        <f t="shared" si="1"/>
        <v>2.6945000000000002E-7</v>
      </c>
      <c r="E40" s="553">
        <f t="shared" si="3"/>
        <v>3.6454999999999997E-7</v>
      </c>
    </row>
    <row r="41" spans="1:5" s="15" customFormat="1" ht="28.5" x14ac:dyDescent="0.25">
      <c r="A41" s="653"/>
      <c r="B41" s="6" t="s">
        <v>63</v>
      </c>
      <c r="C41" s="7">
        <v>0.2</v>
      </c>
      <c r="D41" s="553">
        <f t="shared" si="1"/>
        <v>0.17</v>
      </c>
      <c r="E41" s="553">
        <f t="shared" si="3"/>
        <v>0.23</v>
      </c>
    </row>
    <row r="42" spans="1:5" s="15" customFormat="1" ht="42.75" x14ac:dyDescent="0.25">
      <c r="A42" s="653"/>
      <c r="B42" s="6" t="s">
        <v>64</v>
      </c>
      <c r="C42" s="7">
        <v>1.0000000000000001E-9</v>
      </c>
      <c r="D42" s="553">
        <f t="shared" si="1"/>
        <v>8.5000000000000006E-10</v>
      </c>
      <c r="E42" s="553">
        <f t="shared" si="3"/>
        <v>1.15E-9</v>
      </c>
    </row>
    <row r="43" spans="1:5" s="15" customFormat="1" ht="42.75" x14ac:dyDescent="0.25">
      <c r="A43" s="653"/>
      <c r="B43" s="6" t="s">
        <v>65</v>
      </c>
      <c r="C43" s="7">
        <v>1E-10</v>
      </c>
      <c r="D43" s="553">
        <f t="shared" si="1"/>
        <v>8.5000000000000004E-11</v>
      </c>
      <c r="E43" s="553">
        <f t="shared" si="3"/>
        <v>1.15E-10</v>
      </c>
    </row>
    <row r="44" spans="1:5" s="15" customFormat="1" ht="28.5" x14ac:dyDescent="0.25">
      <c r="A44" s="653"/>
      <c r="B44" s="6" t="s">
        <v>66</v>
      </c>
      <c r="C44" s="7">
        <v>50</v>
      </c>
      <c r="D44" s="553">
        <f t="shared" si="1"/>
        <v>42.5</v>
      </c>
      <c r="E44" s="553">
        <f t="shared" si="3"/>
        <v>57.5</v>
      </c>
    </row>
    <row r="45" spans="1:5" s="15" customFormat="1" ht="28.5" x14ac:dyDescent="0.25">
      <c r="A45" s="653"/>
      <c r="B45" s="6" t="s">
        <v>67</v>
      </c>
      <c r="C45" s="7">
        <v>100</v>
      </c>
      <c r="D45" s="553">
        <f t="shared" si="1"/>
        <v>85</v>
      </c>
      <c r="E45" s="553">
        <f t="shared" si="3"/>
        <v>115</v>
      </c>
    </row>
    <row r="46" spans="1:5" s="15" customFormat="1" ht="28.5" x14ac:dyDescent="0.25">
      <c r="A46" s="653"/>
      <c r="B46" s="6" t="s">
        <v>68</v>
      </c>
      <c r="C46" s="7">
        <v>0.03</v>
      </c>
      <c r="D46" s="553">
        <f t="shared" si="1"/>
        <v>2.5499999999999998E-2</v>
      </c>
      <c r="E46" s="553">
        <f t="shared" si="3"/>
        <v>3.4499999999999996E-2</v>
      </c>
    </row>
    <row r="47" spans="1:5" s="15" customFormat="1" ht="42.75" x14ac:dyDescent="0.25">
      <c r="A47" s="653"/>
      <c r="B47" s="6" t="s">
        <v>69</v>
      </c>
      <c r="C47" s="7">
        <v>50</v>
      </c>
      <c r="D47" s="553">
        <f t="shared" si="1"/>
        <v>42.5</v>
      </c>
      <c r="E47" s="553">
        <f t="shared" si="3"/>
        <v>57.5</v>
      </c>
    </row>
    <row r="48" spans="1:5" s="15" customFormat="1" ht="28.5" x14ac:dyDescent="0.25">
      <c r="A48" s="653" t="s">
        <v>14</v>
      </c>
      <c r="B48" s="6" t="s">
        <v>70</v>
      </c>
      <c r="C48" s="7">
        <v>1</v>
      </c>
      <c r="D48" s="553">
        <f t="shared" si="1"/>
        <v>0.85</v>
      </c>
      <c r="E48" s="553">
        <f t="shared" si="3"/>
        <v>1.1499999999999999</v>
      </c>
    </row>
    <row r="49" spans="1:5" s="15" customFormat="1" ht="28.5" x14ac:dyDescent="0.25">
      <c r="A49" s="653"/>
      <c r="B49" s="6" t="s">
        <v>71</v>
      </c>
      <c r="C49" s="7">
        <v>0.04</v>
      </c>
      <c r="D49" s="553">
        <f t="shared" si="1"/>
        <v>3.4000000000000002E-2</v>
      </c>
      <c r="E49" s="553">
        <f t="shared" si="3"/>
        <v>4.5999999999999999E-2</v>
      </c>
    </row>
    <row r="50" spans="1:5" s="15" customFormat="1" ht="28.5" x14ac:dyDescent="0.25">
      <c r="A50" s="653"/>
      <c r="B50" s="6" t="s">
        <v>72</v>
      </c>
      <c r="C50" s="7">
        <v>4.4800000000000002E-9</v>
      </c>
      <c r="D50" s="553">
        <f t="shared" si="1"/>
        <v>3.8080000000000001E-9</v>
      </c>
      <c r="E50" s="553">
        <f t="shared" si="3"/>
        <v>5.1520000000000004E-9</v>
      </c>
    </row>
    <row r="51" spans="1:5" s="15" customFormat="1" ht="28.5" x14ac:dyDescent="0.25">
      <c r="A51" s="653"/>
      <c r="B51" s="6" t="s">
        <v>73</v>
      </c>
      <c r="C51" s="7">
        <v>2.8E-11</v>
      </c>
      <c r="D51" s="553">
        <f t="shared" si="1"/>
        <v>2.3800000000000001E-11</v>
      </c>
      <c r="E51" s="553">
        <f t="shared" si="3"/>
        <v>3.2200000000000003E-11</v>
      </c>
    </row>
    <row r="52" spans="1:5" s="28" customFormat="1" ht="28.5" x14ac:dyDescent="0.25">
      <c r="A52" s="653"/>
      <c r="B52" s="40" t="s">
        <v>1495</v>
      </c>
      <c r="C52" s="531">
        <v>5000000000</v>
      </c>
      <c r="D52" s="553">
        <f t="shared" si="1"/>
        <v>4250000000</v>
      </c>
      <c r="E52" s="553">
        <f t="shared" si="3"/>
        <v>5750000000</v>
      </c>
    </row>
    <row r="53" spans="1:5" s="15" customFormat="1" ht="28.5" x14ac:dyDescent="0.25">
      <c r="A53" s="653"/>
      <c r="B53" s="6" t="s">
        <v>74</v>
      </c>
      <c r="C53" s="7">
        <v>1.25</v>
      </c>
      <c r="D53" s="553">
        <f t="shared" si="1"/>
        <v>1.0625</v>
      </c>
      <c r="E53" s="553">
        <f t="shared" si="3"/>
        <v>1.4375</v>
      </c>
    </row>
    <row r="54" spans="1:5" s="15" customFormat="1" ht="28.5" x14ac:dyDescent="0.25">
      <c r="A54" s="653"/>
      <c r="B54" s="6" t="s">
        <v>75</v>
      </c>
      <c r="C54" s="7">
        <v>0.04</v>
      </c>
      <c r="D54" s="553">
        <f t="shared" si="1"/>
        <v>3.4000000000000002E-2</v>
      </c>
      <c r="E54" s="553">
        <f t="shared" si="3"/>
        <v>4.5999999999999999E-2</v>
      </c>
    </row>
    <row r="55" spans="1:5" s="15" customFormat="1" ht="28.5" x14ac:dyDescent="0.25">
      <c r="A55" s="653"/>
      <c r="B55" s="6" t="s">
        <v>76</v>
      </c>
      <c r="C55" s="7">
        <v>1.86E-9</v>
      </c>
      <c r="D55" s="553">
        <f t="shared" si="1"/>
        <v>1.581E-9</v>
      </c>
      <c r="E55" s="553">
        <f t="shared" si="3"/>
        <v>2.1390000000000002E-9</v>
      </c>
    </row>
    <row r="56" spans="1:5" s="15" customFormat="1" ht="28.5" x14ac:dyDescent="0.25">
      <c r="A56" s="653"/>
      <c r="B56" s="6" t="s">
        <v>77</v>
      </c>
      <c r="C56" s="7">
        <v>3E-11</v>
      </c>
      <c r="D56" s="553">
        <f t="shared" si="1"/>
        <v>2.5499999999999999E-11</v>
      </c>
      <c r="E56" s="553">
        <f t="shared" si="3"/>
        <v>3.4499999999999997E-11</v>
      </c>
    </row>
    <row r="57" spans="1:5" s="28" customFormat="1" ht="28.5" x14ac:dyDescent="0.25">
      <c r="A57" s="653"/>
      <c r="B57" s="41" t="s">
        <v>1496</v>
      </c>
      <c r="C57" s="42">
        <v>3400</v>
      </c>
      <c r="D57" s="553">
        <f t="shared" si="1"/>
        <v>2890</v>
      </c>
      <c r="E57" s="553">
        <f t="shared" si="3"/>
        <v>3910</v>
      </c>
    </row>
    <row r="58" spans="1:5" s="15" customFormat="1" ht="28.5" x14ac:dyDescent="0.25">
      <c r="A58" s="653"/>
      <c r="B58" s="6" t="s">
        <v>78</v>
      </c>
      <c r="C58" s="7">
        <v>9.8000000000000004E-2</v>
      </c>
      <c r="D58" s="553">
        <f t="shared" si="1"/>
        <v>8.3299999999999999E-2</v>
      </c>
      <c r="E58" s="553">
        <f t="shared" si="3"/>
        <v>0.11270000000000001</v>
      </c>
    </row>
    <row r="59" spans="1:5" s="15" customFormat="1" ht="28.5" x14ac:dyDescent="0.25">
      <c r="A59" s="653"/>
      <c r="B59" s="6" t="s">
        <v>79</v>
      </c>
      <c r="C59" s="7">
        <v>0.04</v>
      </c>
      <c r="D59" s="553">
        <f t="shared" si="1"/>
        <v>3.4000000000000002E-2</v>
      </c>
      <c r="E59" s="553">
        <f t="shared" si="3"/>
        <v>4.5999999999999999E-2</v>
      </c>
    </row>
    <row r="60" spans="1:5" s="15" customFormat="1" ht="28.5" x14ac:dyDescent="0.25">
      <c r="A60" s="653"/>
      <c r="B60" s="6" t="s">
        <v>80</v>
      </c>
      <c r="C60" s="7">
        <v>1.62E-11</v>
      </c>
      <c r="D60" s="553">
        <f t="shared" si="1"/>
        <v>1.377E-11</v>
      </c>
      <c r="E60" s="553">
        <f t="shared" si="3"/>
        <v>1.8629999999999998E-11</v>
      </c>
    </row>
    <row r="61" spans="1:5" s="15" customFormat="1" ht="28.5" x14ac:dyDescent="0.25">
      <c r="A61" s="653"/>
      <c r="B61" s="6" t="s">
        <v>81</v>
      </c>
      <c r="C61" s="7">
        <v>1.2999999999999999E-12</v>
      </c>
      <c r="D61" s="553">
        <f t="shared" si="1"/>
        <v>1.1049999999999998E-12</v>
      </c>
      <c r="E61" s="553">
        <f t="shared" si="3"/>
        <v>1.495E-12</v>
      </c>
    </row>
    <row r="62" spans="1:5" s="28" customFormat="1" x14ac:dyDescent="0.2">
      <c r="A62" s="653"/>
      <c r="B62" s="55" t="s">
        <v>171</v>
      </c>
      <c r="C62" s="45">
        <v>900000</v>
      </c>
      <c r="D62" s="553">
        <f t="shared" si="1"/>
        <v>765000</v>
      </c>
      <c r="E62" s="553">
        <f t="shared" si="3"/>
        <v>1035000</v>
      </c>
    </row>
    <row r="63" spans="1:5" s="15" customFormat="1" ht="28.5" x14ac:dyDescent="0.25">
      <c r="A63" s="653"/>
      <c r="B63" s="6" t="s">
        <v>82</v>
      </c>
      <c r="C63" s="7">
        <v>5</v>
      </c>
      <c r="D63" s="553">
        <f t="shared" si="1"/>
        <v>4.25</v>
      </c>
      <c r="E63" s="553">
        <f t="shared" si="3"/>
        <v>5.75</v>
      </c>
    </row>
    <row r="64" spans="1:5" s="15" customFormat="1" ht="28.5" x14ac:dyDescent="0.25">
      <c r="A64" s="653"/>
      <c r="B64" s="6" t="s">
        <v>83</v>
      </c>
      <c r="C64" s="7">
        <v>1000000000</v>
      </c>
      <c r="D64" s="553">
        <f t="shared" si="1"/>
        <v>850000000</v>
      </c>
      <c r="E64" s="553">
        <f t="shared" si="3"/>
        <v>1150000000</v>
      </c>
    </row>
    <row r="65" spans="1:6" s="15" customFormat="1" ht="42.75" x14ac:dyDescent="0.25">
      <c r="A65" s="653"/>
      <c r="B65" s="6" t="s">
        <v>84</v>
      </c>
      <c r="C65" s="7">
        <v>10</v>
      </c>
      <c r="D65" s="553">
        <f t="shared" si="1"/>
        <v>8.5</v>
      </c>
      <c r="E65" s="553">
        <f t="shared" si="3"/>
        <v>11.5</v>
      </c>
    </row>
    <row r="66" spans="1:6" s="15" customFormat="1" ht="42.75" x14ac:dyDescent="0.25">
      <c r="A66" s="653"/>
      <c r="B66" s="6" t="s">
        <v>133</v>
      </c>
      <c r="C66" s="7">
        <v>6</v>
      </c>
      <c r="D66" s="553">
        <f t="shared" si="1"/>
        <v>5.0999999999999996</v>
      </c>
      <c r="E66" s="553">
        <f t="shared" si="3"/>
        <v>6.9</v>
      </c>
    </row>
    <row r="67" spans="1:6" s="15" customFormat="1" ht="28.5" x14ac:dyDescent="0.25">
      <c r="A67" s="653"/>
      <c r="B67" s="6" t="s">
        <v>85</v>
      </c>
      <c r="C67" s="6">
        <v>2</v>
      </c>
      <c r="D67" s="553">
        <f t="shared" si="1"/>
        <v>1.7</v>
      </c>
      <c r="E67" s="553">
        <f t="shared" si="3"/>
        <v>2.2999999999999998</v>
      </c>
    </row>
    <row r="68" spans="1:6" s="15" customFormat="1" ht="28.5" x14ac:dyDescent="0.25">
      <c r="A68" s="653" t="s">
        <v>15</v>
      </c>
      <c r="B68" s="14" t="s">
        <v>86</v>
      </c>
      <c r="C68" s="15">
        <v>1E-4</v>
      </c>
      <c r="D68" s="553">
        <f t="shared" si="1"/>
        <v>8.5000000000000006E-5</v>
      </c>
      <c r="E68" s="553">
        <f t="shared" si="3"/>
        <v>1.15E-4</v>
      </c>
    </row>
    <row r="69" spans="1:6" s="15" customFormat="1" ht="28.5" x14ac:dyDescent="0.25">
      <c r="A69" s="653"/>
      <c r="B69" s="14" t="s">
        <v>87</v>
      </c>
      <c r="C69" s="15">
        <v>0.1</v>
      </c>
      <c r="D69" s="553">
        <f t="shared" si="1"/>
        <v>8.5000000000000006E-2</v>
      </c>
      <c r="E69" s="553">
        <f t="shared" si="3"/>
        <v>0.115</v>
      </c>
    </row>
    <row r="70" spans="1:6" s="15" customFormat="1" ht="28.5" x14ac:dyDescent="0.25">
      <c r="A70" s="653"/>
      <c r="B70" s="9" t="s">
        <v>88</v>
      </c>
      <c r="C70" s="10">
        <v>0.95</v>
      </c>
      <c r="D70" s="553">
        <f t="shared" si="1"/>
        <v>0.8075</v>
      </c>
      <c r="E70" s="553">
        <v>1</v>
      </c>
      <c r="F70" s="15" t="s">
        <v>1497</v>
      </c>
    </row>
    <row r="71" spans="1:6" s="15" customFormat="1" ht="28.5" x14ac:dyDescent="0.25">
      <c r="A71" s="653"/>
      <c r="B71" s="14" t="s">
        <v>89</v>
      </c>
      <c r="C71" s="15">
        <v>5</v>
      </c>
      <c r="D71" s="553">
        <f t="shared" si="1"/>
        <v>4.25</v>
      </c>
      <c r="E71" s="553">
        <f>C71+C71*0.15</f>
        <v>5.75</v>
      </c>
    </row>
    <row r="72" spans="1:6" s="15" customFormat="1" ht="28.5" x14ac:dyDescent="0.25">
      <c r="A72" s="653"/>
      <c r="B72" s="14" t="s">
        <v>90</v>
      </c>
      <c r="C72" s="15">
        <v>5</v>
      </c>
      <c r="D72" s="553">
        <f t="shared" si="1"/>
        <v>4.25</v>
      </c>
      <c r="E72" s="553">
        <f t="shared" ref="E72:E108" si="4">C72+C72*0.15</f>
        <v>5.75</v>
      </c>
    </row>
    <row r="73" spans="1:6" s="15" customFormat="1" ht="28.5" x14ac:dyDescent="0.25">
      <c r="A73" s="653"/>
      <c r="B73" s="14" t="s">
        <v>91</v>
      </c>
      <c r="C73" s="15">
        <v>10</v>
      </c>
      <c r="D73" s="553">
        <f t="shared" si="1"/>
        <v>8.5</v>
      </c>
      <c r="E73" s="553">
        <f t="shared" si="4"/>
        <v>11.5</v>
      </c>
    </row>
    <row r="74" spans="1:6" s="15" customFormat="1" ht="28.5" x14ac:dyDescent="0.25">
      <c r="A74" s="653"/>
      <c r="B74" s="14" t="s">
        <v>92</v>
      </c>
      <c r="C74" s="15">
        <v>150</v>
      </c>
      <c r="D74" s="553">
        <f t="shared" si="1"/>
        <v>127.5</v>
      </c>
      <c r="E74" s="553">
        <f t="shared" si="4"/>
        <v>172.5</v>
      </c>
    </row>
    <row r="75" spans="1:6" s="15" customFormat="1" ht="28.5" x14ac:dyDescent="0.25">
      <c r="A75" s="653"/>
      <c r="B75" s="14" t="s">
        <v>93</v>
      </c>
      <c r="C75" s="15">
        <v>40</v>
      </c>
      <c r="D75" s="553">
        <f t="shared" ref="D75:D115" si="5">C75-0.15*C75</f>
        <v>34</v>
      </c>
      <c r="E75" s="553">
        <f t="shared" si="4"/>
        <v>46</v>
      </c>
    </row>
    <row r="76" spans="1:6" s="15" customFormat="1" ht="28.5" x14ac:dyDescent="0.25">
      <c r="A76" s="653"/>
      <c r="B76" s="14" t="s">
        <v>94</v>
      </c>
      <c r="C76" s="15">
        <v>100</v>
      </c>
      <c r="D76" s="553">
        <f t="shared" si="5"/>
        <v>85</v>
      </c>
      <c r="E76" s="553">
        <f t="shared" si="4"/>
        <v>115</v>
      </c>
    </row>
    <row r="77" spans="1:6" s="15" customFormat="1" ht="28.5" x14ac:dyDescent="0.25">
      <c r="A77" s="653"/>
      <c r="B77" s="14" t="s">
        <v>95</v>
      </c>
      <c r="C77" s="15">
        <v>0.9</v>
      </c>
      <c r="D77" s="553">
        <f t="shared" si="5"/>
        <v>0.76500000000000001</v>
      </c>
      <c r="E77" s="553">
        <f t="shared" si="4"/>
        <v>1.0350000000000001</v>
      </c>
    </row>
    <row r="78" spans="1:6" s="15" customFormat="1" ht="28.5" x14ac:dyDescent="0.25">
      <c r="A78" s="653"/>
      <c r="B78" s="14" t="s">
        <v>96</v>
      </c>
      <c r="C78" s="14">
        <v>0.5</v>
      </c>
      <c r="D78" s="553">
        <f t="shared" si="5"/>
        <v>0.42499999999999999</v>
      </c>
      <c r="E78" s="553">
        <f t="shared" si="4"/>
        <v>0.57499999999999996</v>
      </c>
    </row>
    <row r="79" spans="1:6" s="15" customFormat="1" ht="28.5" x14ac:dyDescent="0.25">
      <c r="A79" s="653"/>
      <c r="B79" s="14" t="s">
        <v>97</v>
      </c>
      <c r="C79" s="15">
        <v>1.25</v>
      </c>
      <c r="D79" s="553">
        <f t="shared" si="5"/>
        <v>1.0625</v>
      </c>
      <c r="E79" s="553">
        <f t="shared" si="4"/>
        <v>1.4375</v>
      </c>
    </row>
    <row r="80" spans="1:6" s="15" customFormat="1" ht="28.5" x14ac:dyDescent="0.25">
      <c r="A80" s="653"/>
      <c r="B80" s="14" t="s">
        <v>98</v>
      </c>
      <c r="C80" s="15">
        <v>5</v>
      </c>
      <c r="D80" s="553">
        <f t="shared" si="5"/>
        <v>4.25</v>
      </c>
      <c r="E80" s="553">
        <f t="shared" si="4"/>
        <v>5.75</v>
      </c>
    </row>
    <row r="81" spans="1:5" s="15" customFormat="1" ht="28.5" x14ac:dyDescent="0.25">
      <c r="A81" s="653"/>
      <c r="B81" s="14" t="s">
        <v>99</v>
      </c>
      <c r="C81" s="15">
        <v>1</v>
      </c>
      <c r="D81" s="553">
        <f t="shared" si="5"/>
        <v>0.85</v>
      </c>
      <c r="E81" s="553">
        <f t="shared" si="4"/>
        <v>1.1499999999999999</v>
      </c>
    </row>
    <row r="82" spans="1:5" s="15" customFormat="1" ht="28.5" x14ac:dyDescent="0.25">
      <c r="A82" s="653"/>
      <c r="B82" s="14" t="s">
        <v>100</v>
      </c>
      <c r="C82" s="15">
        <v>10</v>
      </c>
      <c r="D82" s="553">
        <f t="shared" si="5"/>
        <v>8.5</v>
      </c>
      <c r="E82" s="553">
        <f t="shared" si="4"/>
        <v>11.5</v>
      </c>
    </row>
    <row r="83" spans="1:5" s="15" customFormat="1" ht="42.75" x14ac:dyDescent="0.25">
      <c r="A83" s="653" t="s">
        <v>16</v>
      </c>
      <c r="B83" s="14" t="s">
        <v>101</v>
      </c>
      <c r="C83" s="15">
        <v>50</v>
      </c>
      <c r="D83" s="553">
        <f t="shared" si="5"/>
        <v>42.5</v>
      </c>
      <c r="E83" s="553">
        <f t="shared" si="4"/>
        <v>57.5</v>
      </c>
    </row>
    <row r="84" spans="1:5" s="15" customFormat="1" ht="42.75" x14ac:dyDescent="0.25">
      <c r="A84" s="653"/>
      <c r="B84" s="14" t="s">
        <v>102</v>
      </c>
      <c r="C84" s="15">
        <v>1.5</v>
      </c>
      <c r="D84" s="553">
        <f t="shared" si="5"/>
        <v>1.2749999999999999</v>
      </c>
      <c r="E84" s="553">
        <f t="shared" si="4"/>
        <v>1.7250000000000001</v>
      </c>
    </row>
    <row r="85" spans="1:5" s="15" customFormat="1" ht="28.5" x14ac:dyDescent="0.25">
      <c r="A85" s="653"/>
      <c r="B85" s="14" t="s">
        <v>103</v>
      </c>
      <c r="C85" s="8">
        <v>7.0000000000000005E-8</v>
      </c>
      <c r="D85" s="553">
        <f t="shared" si="5"/>
        <v>5.9500000000000003E-8</v>
      </c>
      <c r="E85" s="553">
        <f t="shared" si="4"/>
        <v>8.05E-8</v>
      </c>
    </row>
    <row r="86" spans="1:5" s="15" customFormat="1" ht="42.75" x14ac:dyDescent="0.25">
      <c r="A86" s="653"/>
      <c r="B86" s="14" t="s">
        <v>104</v>
      </c>
      <c r="C86" s="15">
        <v>10</v>
      </c>
      <c r="D86" s="553">
        <f t="shared" si="5"/>
        <v>8.5</v>
      </c>
      <c r="E86" s="553">
        <f t="shared" si="4"/>
        <v>11.5</v>
      </c>
    </row>
    <row r="87" spans="1:5" s="15" customFormat="1" ht="42.75" x14ac:dyDescent="0.25">
      <c r="A87" s="653"/>
      <c r="B87" s="14" t="s">
        <v>105</v>
      </c>
      <c r="C87" s="15">
        <v>50</v>
      </c>
      <c r="D87" s="553">
        <f t="shared" si="5"/>
        <v>42.5</v>
      </c>
      <c r="E87" s="553">
        <f t="shared" si="4"/>
        <v>57.5</v>
      </c>
    </row>
    <row r="88" spans="1:5" s="15" customFormat="1" ht="42.75" x14ac:dyDescent="0.25">
      <c r="A88" s="653"/>
      <c r="B88" s="14" t="s">
        <v>106</v>
      </c>
      <c r="C88" s="8">
        <v>2.1999999999999998E-8</v>
      </c>
      <c r="D88" s="553">
        <f t="shared" si="5"/>
        <v>1.8699999999999999E-8</v>
      </c>
      <c r="E88" s="553">
        <f t="shared" si="4"/>
        <v>2.5299999999999998E-8</v>
      </c>
    </row>
    <row r="89" spans="1:5" s="15" customFormat="1" ht="28.5" x14ac:dyDescent="0.25">
      <c r="A89" s="653"/>
      <c r="B89" s="14" t="s">
        <v>107</v>
      </c>
      <c r="C89" s="15">
        <v>0.3</v>
      </c>
      <c r="D89" s="553">
        <f t="shared" si="5"/>
        <v>0.255</v>
      </c>
      <c r="E89" s="553">
        <f t="shared" si="4"/>
        <v>0.34499999999999997</v>
      </c>
    </row>
    <row r="90" spans="1:5" s="15" customFormat="1" ht="28.5" x14ac:dyDescent="0.25">
      <c r="A90" s="653"/>
      <c r="B90" s="14" t="s">
        <v>108</v>
      </c>
      <c r="C90" s="15">
        <v>12.5</v>
      </c>
      <c r="D90" s="553">
        <f t="shared" si="5"/>
        <v>10.625</v>
      </c>
      <c r="E90" s="553">
        <f t="shared" si="4"/>
        <v>14.375</v>
      </c>
    </row>
    <row r="91" spans="1:5" s="15" customFormat="1" x14ac:dyDescent="0.25">
      <c r="A91" s="653"/>
      <c r="B91" s="14" t="s">
        <v>109</v>
      </c>
      <c r="C91" s="15">
        <v>7.0000000000000007E-2</v>
      </c>
      <c r="D91" s="553">
        <f t="shared" si="5"/>
        <v>5.9500000000000004E-2</v>
      </c>
      <c r="E91" s="553">
        <f t="shared" si="4"/>
        <v>8.0500000000000002E-2</v>
      </c>
    </row>
    <row r="92" spans="1:5" s="15" customFormat="1" x14ac:dyDescent="0.25">
      <c r="A92" s="653" t="s">
        <v>17</v>
      </c>
      <c r="B92" s="6" t="s">
        <v>110</v>
      </c>
      <c r="C92" s="7">
        <v>1</v>
      </c>
      <c r="D92" s="553">
        <f t="shared" si="5"/>
        <v>0.85</v>
      </c>
      <c r="E92" s="553">
        <f t="shared" si="4"/>
        <v>1.1499999999999999</v>
      </c>
    </row>
    <row r="93" spans="1:5" s="15" customFormat="1" x14ac:dyDescent="0.25">
      <c r="A93" s="653"/>
      <c r="B93" s="6" t="s">
        <v>111</v>
      </c>
      <c r="C93" s="7">
        <v>1</v>
      </c>
      <c r="D93" s="553">
        <f t="shared" si="5"/>
        <v>0.85</v>
      </c>
      <c r="E93" s="553">
        <f t="shared" si="4"/>
        <v>1.1499999999999999</v>
      </c>
    </row>
    <row r="94" spans="1:5" s="15" customFormat="1" x14ac:dyDescent="0.25">
      <c r="A94" s="653"/>
      <c r="B94" s="6" t="s">
        <v>112</v>
      </c>
      <c r="C94" s="7">
        <v>1</v>
      </c>
      <c r="D94" s="553">
        <f t="shared" si="5"/>
        <v>0.85</v>
      </c>
      <c r="E94" s="553">
        <f t="shared" si="4"/>
        <v>1.1499999999999999</v>
      </c>
    </row>
    <row r="95" spans="1:5" s="15" customFormat="1" x14ac:dyDescent="0.25">
      <c r="A95" s="653"/>
      <c r="B95" s="6" t="s">
        <v>113</v>
      </c>
      <c r="C95" s="7">
        <v>1</v>
      </c>
      <c r="D95" s="553">
        <f t="shared" si="5"/>
        <v>0.85</v>
      </c>
      <c r="E95" s="553">
        <f t="shared" si="4"/>
        <v>1.1499999999999999</v>
      </c>
    </row>
    <row r="96" spans="1:5" s="15" customFormat="1" ht="28.5" x14ac:dyDescent="0.25">
      <c r="A96" s="653"/>
      <c r="B96" s="14" t="s">
        <v>114</v>
      </c>
      <c r="C96" s="15">
        <v>1</v>
      </c>
      <c r="D96" s="553">
        <f t="shared" si="5"/>
        <v>0.85</v>
      </c>
      <c r="E96" s="553">
        <f t="shared" si="4"/>
        <v>1.1499999999999999</v>
      </c>
    </row>
    <row r="97" spans="1:5" s="15" customFormat="1" x14ac:dyDescent="0.25">
      <c r="A97" s="653"/>
      <c r="B97" s="14" t="s">
        <v>115</v>
      </c>
      <c r="C97" s="15">
        <v>1</v>
      </c>
      <c r="D97" s="553">
        <f t="shared" si="5"/>
        <v>0.85</v>
      </c>
      <c r="E97" s="553">
        <f t="shared" si="4"/>
        <v>1.1499999999999999</v>
      </c>
    </row>
    <row r="98" spans="1:5" s="15" customFormat="1" x14ac:dyDescent="0.25">
      <c r="A98" s="653"/>
      <c r="B98" s="14" t="s">
        <v>116</v>
      </c>
      <c r="C98" s="15">
        <v>1</v>
      </c>
      <c r="D98" s="553">
        <f t="shared" si="5"/>
        <v>0.85</v>
      </c>
      <c r="E98" s="553">
        <f t="shared" si="4"/>
        <v>1.1499999999999999</v>
      </c>
    </row>
    <row r="99" spans="1:5" s="15" customFormat="1" ht="28.5" x14ac:dyDescent="0.25">
      <c r="A99" s="653"/>
      <c r="B99" s="14" t="s">
        <v>117</v>
      </c>
      <c r="C99" s="15">
        <v>0.01</v>
      </c>
      <c r="D99" s="553">
        <f t="shared" si="5"/>
        <v>8.5000000000000006E-3</v>
      </c>
      <c r="E99" s="553">
        <f t="shared" si="4"/>
        <v>1.15E-2</v>
      </c>
    </row>
    <row r="100" spans="1:5" s="15" customFormat="1" ht="28.5" x14ac:dyDescent="0.25">
      <c r="A100" s="653"/>
      <c r="B100" s="14" t="s">
        <v>118</v>
      </c>
      <c r="C100" s="15">
        <v>3.0000000000000001E-3</v>
      </c>
      <c r="D100" s="553">
        <f t="shared" si="5"/>
        <v>2.5500000000000002E-3</v>
      </c>
      <c r="E100" s="553">
        <f t="shared" si="4"/>
        <v>3.4499999999999999E-3</v>
      </c>
    </row>
    <row r="101" spans="1:5" s="15" customFormat="1" ht="28.5" x14ac:dyDescent="0.25">
      <c r="A101" s="653"/>
      <c r="B101" s="14" t="s">
        <v>119</v>
      </c>
      <c r="C101" s="15">
        <v>0.04</v>
      </c>
      <c r="D101" s="553">
        <f t="shared" si="5"/>
        <v>3.4000000000000002E-2</v>
      </c>
      <c r="E101" s="553">
        <f t="shared" si="4"/>
        <v>4.5999999999999999E-2</v>
      </c>
    </row>
    <row r="102" spans="1:5" s="15" customFormat="1" x14ac:dyDescent="0.25">
      <c r="A102" s="653"/>
      <c r="B102" s="14" t="s">
        <v>120</v>
      </c>
      <c r="C102" s="15">
        <v>1672.6</v>
      </c>
      <c r="D102" s="553">
        <f t="shared" si="5"/>
        <v>1421.71</v>
      </c>
      <c r="E102" s="553">
        <f t="shared" si="4"/>
        <v>1923.4899999999998</v>
      </c>
    </row>
    <row r="103" spans="1:5" s="15" customFormat="1" ht="28.5" x14ac:dyDescent="0.25">
      <c r="A103" s="653"/>
      <c r="B103" s="14" t="s">
        <v>121</v>
      </c>
      <c r="C103" s="15">
        <v>0.8</v>
      </c>
      <c r="D103" s="553">
        <f t="shared" si="5"/>
        <v>0.68</v>
      </c>
      <c r="E103" s="553">
        <f t="shared" si="4"/>
        <v>0.92</v>
      </c>
    </row>
    <row r="104" spans="1:5" s="15" customFormat="1" ht="28.5" x14ac:dyDescent="0.25">
      <c r="A104" s="653"/>
      <c r="B104" s="14" t="s">
        <v>122</v>
      </c>
      <c r="C104" s="15">
        <v>0.9</v>
      </c>
      <c r="D104" s="553">
        <f t="shared" si="5"/>
        <v>0.76500000000000001</v>
      </c>
      <c r="E104" s="553">
        <f t="shared" si="4"/>
        <v>1.0350000000000001</v>
      </c>
    </row>
    <row r="105" spans="1:5" s="15" customFormat="1" ht="28.5" x14ac:dyDescent="0.25">
      <c r="A105" s="653"/>
      <c r="B105" s="14" t="s">
        <v>123</v>
      </c>
      <c r="C105" s="15">
        <v>1</v>
      </c>
      <c r="D105" s="553">
        <f t="shared" si="5"/>
        <v>0.85</v>
      </c>
      <c r="E105" s="553">
        <f t="shared" si="4"/>
        <v>1.1499999999999999</v>
      </c>
    </row>
    <row r="106" spans="1:5" s="15" customFormat="1" ht="28.5" x14ac:dyDescent="0.25">
      <c r="A106" s="653"/>
      <c r="B106" s="14" t="s">
        <v>124</v>
      </c>
      <c r="C106" s="15">
        <v>1.2</v>
      </c>
      <c r="D106" s="553">
        <f t="shared" si="5"/>
        <v>1.02</v>
      </c>
      <c r="E106" s="553">
        <f t="shared" si="4"/>
        <v>1.38</v>
      </c>
    </row>
    <row r="107" spans="1:5" s="15" customFormat="1" x14ac:dyDescent="0.25">
      <c r="A107" s="653"/>
      <c r="B107" s="14" t="s">
        <v>125</v>
      </c>
      <c r="C107" s="15">
        <v>0.8</v>
      </c>
      <c r="D107" s="553">
        <f t="shared" si="5"/>
        <v>0.68</v>
      </c>
      <c r="E107" s="553">
        <f t="shared" si="4"/>
        <v>0.92</v>
      </c>
    </row>
    <row r="108" spans="1:5" s="15" customFormat="1" x14ac:dyDescent="0.25">
      <c r="A108" s="653"/>
      <c r="B108" s="14" t="s">
        <v>126</v>
      </c>
      <c r="C108" s="15">
        <v>1.2</v>
      </c>
      <c r="D108" s="553">
        <f t="shared" si="5"/>
        <v>1.02</v>
      </c>
      <c r="E108" s="553">
        <f t="shared" si="4"/>
        <v>1.38</v>
      </c>
    </row>
    <row r="109" spans="1:5" s="15" customFormat="1" x14ac:dyDescent="0.25">
      <c r="A109" s="653"/>
      <c r="B109" s="10" t="s">
        <v>134</v>
      </c>
      <c r="C109" s="10">
        <v>0</v>
      </c>
      <c r="D109" s="10">
        <v>0</v>
      </c>
      <c r="E109" s="10">
        <v>4.99</v>
      </c>
    </row>
    <row r="110" spans="1:5" s="553" customFormat="1" ht="28.5" x14ac:dyDescent="0.25">
      <c r="A110" s="653"/>
      <c r="B110" s="14" t="s">
        <v>129</v>
      </c>
      <c r="C110" s="15">
        <v>10</v>
      </c>
      <c r="D110" s="553">
        <f t="shared" si="5"/>
        <v>8.5</v>
      </c>
      <c r="E110" s="553">
        <f t="shared" ref="E110:E115" si="6">C110+C110*0.15</f>
        <v>11.5</v>
      </c>
    </row>
    <row r="111" spans="1:5" s="553" customFormat="1" ht="28.5" x14ac:dyDescent="0.25">
      <c r="A111" s="653"/>
      <c r="B111" s="14" t="s">
        <v>130</v>
      </c>
      <c r="C111" s="15">
        <v>8</v>
      </c>
      <c r="D111" s="553">
        <f t="shared" si="5"/>
        <v>6.8</v>
      </c>
      <c r="E111" s="553">
        <f t="shared" si="6"/>
        <v>9.1999999999999993</v>
      </c>
    </row>
    <row r="112" spans="1:5" s="553" customFormat="1" ht="28.5" x14ac:dyDescent="0.25">
      <c r="A112" s="653"/>
      <c r="B112" s="14" t="s">
        <v>131</v>
      </c>
      <c r="C112" s="15">
        <v>5</v>
      </c>
      <c r="D112" s="553">
        <f t="shared" si="5"/>
        <v>4.25</v>
      </c>
      <c r="E112" s="553">
        <f t="shared" si="6"/>
        <v>5.75</v>
      </c>
    </row>
    <row r="113" spans="1:5" s="553" customFormat="1" ht="28.5" x14ac:dyDescent="0.25">
      <c r="A113" s="653"/>
      <c r="B113" s="14" t="s">
        <v>132</v>
      </c>
      <c r="C113" s="15">
        <v>3</v>
      </c>
      <c r="D113" s="553">
        <f t="shared" si="5"/>
        <v>2.5499999999999998</v>
      </c>
      <c r="E113" s="553">
        <f t="shared" si="6"/>
        <v>3.45</v>
      </c>
    </row>
    <row r="114" spans="1:5" s="15" customFormat="1" ht="28.5" x14ac:dyDescent="0.25">
      <c r="A114" s="654" t="s">
        <v>18</v>
      </c>
      <c r="B114" s="14" t="s">
        <v>127</v>
      </c>
      <c r="C114" s="8">
        <v>7500000000</v>
      </c>
      <c r="D114" s="553">
        <f t="shared" si="5"/>
        <v>6375000000</v>
      </c>
      <c r="E114" s="553">
        <f t="shared" si="6"/>
        <v>8625000000</v>
      </c>
    </row>
    <row r="115" spans="1:5" s="15" customFormat="1" x14ac:dyDescent="0.25">
      <c r="A115" s="654"/>
      <c r="B115" s="14" t="s">
        <v>128</v>
      </c>
      <c r="C115" s="15">
        <v>0.5</v>
      </c>
      <c r="D115" s="553">
        <f t="shared" si="5"/>
        <v>0.42499999999999999</v>
      </c>
      <c r="E115" s="553">
        <f t="shared" si="6"/>
        <v>0.57499999999999996</v>
      </c>
    </row>
    <row r="116" spans="1:5" s="15" customFormat="1" x14ac:dyDescent="0.25">
      <c r="A116" s="554"/>
    </row>
    <row r="117" spans="1:5" s="15" customFormat="1" x14ac:dyDescent="0.25">
      <c r="A117" s="554"/>
    </row>
    <row r="118" spans="1:5" s="15" customFormat="1" x14ac:dyDescent="0.25">
      <c r="A118" s="554"/>
    </row>
    <row r="119" spans="1:5" s="15" customFormat="1" x14ac:dyDescent="0.25">
      <c r="A119" s="554"/>
    </row>
  </sheetData>
  <mergeCells count="10">
    <mergeCell ref="A68:A82"/>
    <mergeCell ref="A83:A91"/>
    <mergeCell ref="A92:A113"/>
    <mergeCell ref="A114:A115"/>
    <mergeCell ref="A2:A10"/>
    <mergeCell ref="A13:A17"/>
    <mergeCell ref="A31:A47"/>
    <mergeCell ref="A48:A67"/>
    <mergeCell ref="A18:A27"/>
    <mergeCell ref="A28:A30"/>
  </mergeCells>
  <pageMargins left="0.7" right="0.7" top="0.75" bottom="0.75" header="0.3" footer="0.3"/>
  <pageSetup paperSize="9" orientation="portrait" horizontalDpi="1200"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80" zoomScaleNormal="80" workbookViewId="0">
      <pane xSplit="3" ySplit="1" topLeftCell="D8" activePane="bottomRight" state="frozen"/>
      <selection activeCell="H23" sqref="H23"/>
      <selection pane="topRight" activeCell="H23" sqref="H23"/>
      <selection pane="bottomLeft" activeCell="H23" sqref="H23"/>
      <selection pane="bottomRight" activeCell="K27" sqref="K27"/>
    </sheetView>
  </sheetViews>
  <sheetFormatPr defaultColWidth="9" defaultRowHeight="15" x14ac:dyDescent="0.25"/>
  <cols>
    <col min="1" max="1" width="9" style="355"/>
    <col min="2" max="2" width="14.5703125" style="355" customWidth="1"/>
    <col min="3" max="3" width="89.85546875" style="93" customWidth="1"/>
    <col min="4" max="4" width="21" style="157" customWidth="1"/>
    <col min="5" max="5" width="21.85546875" style="581" customWidth="1"/>
    <col min="6" max="6" width="11.7109375" style="355" bestFit="1" customWidth="1"/>
    <col min="7" max="16384" width="9" style="355"/>
  </cols>
  <sheetData>
    <row r="1" spans="1:7" s="580" customFormat="1" ht="124.9" customHeight="1" x14ac:dyDescent="0.25">
      <c r="C1" s="88" t="s">
        <v>3</v>
      </c>
      <c r="D1" s="88" t="s">
        <v>1550</v>
      </c>
      <c r="E1" s="475" t="s">
        <v>0</v>
      </c>
      <c r="F1" s="580" t="s">
        <v>1</v>
      </c>
      <c r="G1" s="580" t="s">
        <v>2</v>
      </c>
    </row>
    <row r="2" spans="1:7" ht="14.25" customHeight="1" x14ac:dyDescent="0.25">
      <c r="A2" s="663" t="s">
        <v>142</v>
      </c>
      <c r="B2" s="663" t="s">
        <v>1546</v>
      </c>
      <c r="C2" s="91" t="s">
        <v>6</v>
      </c>
      <c r="D2" s="157">
        <v>0.05</v>
      </c>
      <c r="E2" s="364">
        <v>10.757199999999999</v>
      </c>
      <c r="F2" s="355">
        <f>E2-E2*D2</f>
        <v>10.219339999999999</v>
      </c>
      <c r="G2" s="366">
        <f>E2</f>
        <v>10.757199999999999</v>
      </c>
    </row>
    <row r="3" spans="1:7" x14ac:dyDescent="0.25">
      <c r="A3" s="663"/>
      <c r="B3" s="663"/>
      <c r="C3" s="91" t="s">
        <v>5</v>
      </c>
      <c r="D3" s="157">
        <v>0.05</v>
      </c>
      <c r="E3" s="364">
        <v>28.114000000000001</v>
      </c>
      <c r="F3" s="355">
        <f t="shared" ref="F3:F26" si="0">E3-E3*D3</f>
        <v>26.708300000000001</v>
      </c>
      <c r="G3" s="366">
        <f>E3</f>
        <v>28.114000000000001</v>
      </c>
    </row>
    <row r="4" spans="1:7" x14ac:dyDescent="0.25">
      <c r="A4" s="663"/>
      <c r="B4" s="663" t="s">
        <v>1537</v>
      </c>
      <c r="C4" s="91" t="s">
        <v>1534</v>
      </c>
      <c r="D4" s="157">
        <v>0.1</v>
      </c>
      <c r="E4" s="364">
        <v>0.59101199999999998</v>
      </c>
      <c r="F4" s="355">
        <f t="shared" si="0"/>
        <v>0.53191080000000002</v>
      </c>
      <c r="G4" s="355">
        <f t="shared" ref="G4:G26" si="1">E4+E4*D4</f>
        <v>0.65011319999999995</v>
      </c>
    </row>
    <row r="5" spans="1:7" x14ac:dyDescent="0.25">
      <c r="A5" s="663"/>
      <c r="B5" s="663"/>
      <c r="C5" s="91" t="s">
        <v>37</v>
      </c>
      <c r="D5" s="157">
        <v>0.15</v>
      </c>
      <c r="E5" s="364">
        <v>7.0000000000000001E-3</v>
      </c>
      <c r="F5" s="355">
        <f t="shared" si="0"/>
        <v>5.9500000000000004E-3</v>
      </c>
      <c r="G5" s="355">
        <f t="shared" si="1"/>
        <v>8.0499999999999999E-3</v>
      </c>
    </row>
    <row r="6" spans="1:7" x14ac:dyDescent="0.25">
      <c r="A6" s="663"/>
      <c r="B6" s="663"/>
      <c r="C6" s="91" t="s">
        <v>38</v>
      </c>
      <c r="D6" s="157">
        <v>0.15</v>
      </c>
      <c r="E6" s="364">
        <v>5.0000000000000001E-3</v>
      </c>
      <c r="F6" s="355">
        <f t="shared" si="0"/>
        <v>4.2500000000000003E-3</v>
      </c>
      <c r="G6" s="355">
        <f t="shared" si="1"/>
        <v>5.7499999999999999E-3</v>
      </c>
    </row>
    <row r="7" spans="1:7" x14ac:dyDescent="0.25">
      <c r="A7" s="663"/>
      <c r="B7" s="663"/>
      <c r="C7" s="91" t="s">
        <v>1533</v>
      </c>
      <c r="D7" s="157">
        <v>0.1</v>
      </c>
      <c r="E7" s="364">
        <v>0.81733199999999995</v>
      </c>
      <c r="F7" s="355">
        <f t="shared" si="0"/>
        <v>0.7355988</v>
      </c>
      <c r="G7" s="355">
        <f t="shared" si="1"/>
        <v>0.8990651999999999</v>
      </c>
    </row>
    <row r="8" spans="1:7" x14ac:dyDescent="0.25">
      <c r="A8" s="663"/>
      <c r="B8" s="663" t="s">
        <v>1547</v>
      </c>
      <c r="C8" s="91" t="s">
        <v>39</v>
      </c>
      <c r="D8" s="157">
        <v>0.1</v>
      </c>
      <c r="E8" s="581">
        <v>0.55308400000000002</v>
      </c>
      <c r="F8" s="355">
        <f t="shared" si="0"/>
        <v>0.49777559999999998</v>
      </c>
      <c r="G8" s="355">
        <f t="shared" si="1"/>
        <v>0.60839240000000006</v>
      </c>
    </row>
    <row r="9" spans="1:7" x14ac:dyDescent="0.25">
      <c r="A9" s="663"/>
      <c r="B9" s="663"/>
      <c r="C9" s="91" t="s">
        <v>40</v>
      </c>
      <c r="D9" s="157">
        <v>0.1</v>
      </c>
      <c r="E9" s="581">
        <v>0.920655</v>
      </c>
      <c r="F9" s="355">
        <f t="shared" si="0"/>
        <v>0.82858949999999998</v>
      </c>
      <c r="G9" s="355">
        <f t="shared" si="1"/>
        <v>1.0127204999999999</v>
      </c>
    </row>
    <row r="10" spans="1:7" x14ac:dyDescent="0.25">
      <c r="A10" s="663" t="s">
        <v>1542</v>
      </c>
      <c r="B10" s="663" t="s">
        <v>1548</v>
      </c>
      <c r="C10" s="89" t="s">
        <v>44</v>
      </c>
      <c r="D10" s="157">
        <v>0.1</v>
      </c>
      <c r="E10" s="581">
        <v>3.1999999999999999E-6</v>
      </c>
      <c r="F10" s="355">
        <f t="shared" si="0"/>
        <v>2.88E-6</v>
      </c>
      <c r="G10" s="355">
        <f t="shared" si="1"/>
        <v>3.5199999999999998E-6</v>
      </c>
    </row>
    <row r="11" spans="1:7" x14ac:dyDescent="0.25">
      <c r="A11" s="663"/>
      <c r="B11" s="663"/>
      <c r="C11" s="91" t="s">
        <v>50</v>
      </c>
      <c r="D11" s="157">
        <v>0.15</v>
      </c>
      <c r="E11" s="581">
        <v>2.6</v>
      </c>
      <c r="F11" s="355">
        <f t="shared" si="0"/>
        <v>2.21</v>
      </c>
      <c r="G11" s="355">
        <f t="shared" si="1"/>
        <v>2.99</v>
      </c>
    </row>
    <row r="12" spans="1:7" x14ac:dyDescent="0.25">
      <c r="A12" s="663"/>
      <c r="B12" s="663"/>
      <c r="C12" s="530" t="s">
        <v>1492</v>
      </c>
      <c r="D12" s="157">
        <v>0.15</v>
      </c>
      <c r="E12" s="581">
        <v>3</v>
      </c>
      <c r="F12" s="355">
        <f t="shared" si="0"/>
        <v>2.5499999999999998</v>
      </c>
      <c r="G12" s="355">
        <f t="shared" si="1"/>
        <v>3.45</v>
      </c>
    </row>
    <row r="13" spans="1:7" x14ac:dyDescent="0.25">
      <c r="A13" s="663"/>
      <c r="B13" s="663"/>
      <c r="C13" s="530" t="s">
        <v>1493</v>
      </c>
      <c r="D13" s="157">
        <v>0.15</v>
      </c>
      <c r="E13" s="581">
        <v>1.425</v>
      </c>
      <c r="F13" s="355">
        <f t="shared" si="0"/>
        <v>1.2112500000000002</v>
      </c>
      <c r="G13" s="355">
        <f t="shared" si="1"/>
        <v>1.6387499999999999</v>
      </c>
    </row>
    <row r="14" spans="1:7" x14ac:dyDescent="0.25">
      <c r="A14" s="663"/>
      <c r="B14" s="663"/>
      <c r="C14" s="530" t="s">
        <v>1494</v>
      </c>
      <c r="D14" s="157">
        <v>0.15</v>
      </c>
      <c r="E14" s="581">
        <v>1.875</v>
      </c>
      <c r="F14" s="355">
        <f t="shared" si="0"/>
        <v>1.59375</v>
      </c>
      <c r="G14" s="355">
        <f t="shared" si="1"/>
        <v>2.15625</v>
      </c>
    </row>
    <row r="15" spans="1:7" x14ac:dyDescent="0.25">
      <c r="A15" s="663"/>
      <c r="B15" s="663" t="s">
        <v>1538</v>
      </c>
      <c r="C15" s="89" t="s">
        <v>71</v>
      </c>
      <c r="D15" s="157">
        <v>0.15</v>
      </c>
      <c r="E15" s="581">
        <v>4.8000000000000001E-2</v>
      </c>
      <c r="F15" s="355">
        <f t="shared" si="0"/>
        <v>4.0800000000000003E-2</v>
      </c>
      <c r="G15" s="355">
        <f t="shared" si="1"/>
        <v>5.5199999999999999E-2</v>
      </c>
    </row>
    <row r="16" spans="1:7" x14ac:dyDescent="0.25">
      <c r="A16" s="663"/>
      <c r="B16" s="663"/>
      <c r="C16" s="89" t="s">
        <v>75</v>
      </c>
      <c r="D16" s="157">
        <v>0.15</v>
      </c>
      <c r="E16" s="581">
        <v>4.8000000000000001E-2</v>
      </c>
      <c r="F16" s="355">
        <f t="shared" si="0"/>
        <v>4.0800000000000003E-2</v>
      </c>
      <c r="G16" s="355">
        <f t="shared" si="1"/>
        <v>5.5199999999999999E-2</v>
      </c>
    </row>
    <row r="17" spans="1:7" x14ac:dyDescent="0.25">
      <c r="A17" s="663"/>
      <c r="B17" s="663"/>
      <c r="C17" s="89" t="s">
        <v>79</v>
      </c>
      <c r="D17" s="157">
        <v>0.15</v>
      </c>
      <c r="E17" s="581">
        <v>0.52499999999999991</v>
      </c>
      <c r="F17" s="355">
        <f t="shared" si="0"/>
        <v>0.44624999999999992</v>
      </c>
      <c r="G17" s="355">
        <f t="shared" si="1"/>
        <v>0.6037499999999999</v>
      </c>
    </row>
    <row r="18" spans="1:7" x14ac:dyDescent="0.25">
      <c r="A18" s="663"/>
      <c r="B18" s="663"/>
      <c r="C18" s="93" t="s">
        <v>1495</v>
      </c>
      <c r="D18" s="157">
        <v>0.5</v>
      </c>
      <c r="E18" s="581">
        <v>36750000000</v>
      </c>
      <c r="F18" s="366">
        <f>E18</f>
        <v>36750000000</v>
      </c>
      <c r="G18" s="355">
        <f t="shared" si="1"/>
        <v>55125000000</v>
      </c>
    </row>
    <row r="19" spans="1:7" x14ac:dyDescent="0.25">
      <c r="A19" s="663"/>
      <c r="B19" s="663"/>
      <c r="C19" s="93" t="s">
        <v>1496</v>
      </c>
      <c r="D19" s="157">
        <v>0.15</v>
      </c>
      <c r="E19" s="581">
        <v>6750</v>
      </c>
      <c r="F19" s="355">
        <f t="shared" si="0"/>
        <v>5737.5</v>
      </c>
      <c r="G19" s="355">
        <f t="shared" si="1"/>
        <v>7762.5</v>
      </c>
    </row>
    <row r="20" spans="1:7" x14ac:dyDescent="0.25">
      <c r="A20" s="663"/>
      <c r="B20" s="663" t="s">
        <v>1549</v>
      </c>
      <c r="C20" s="91" t="s">
        <v>56</v>
      </c>
      <c r="D20" s="157">
        <v>0.15</v>
      </c>
      <c r="E20" s="581">
        <v>2</v>
      </c>
      <c r="F20" s="355">
        <f t="shared" si="0"/>
        <v>1.7</v>
      </c>
      <c r="G20" s="355">
        <f t="shared" si="1"/>
        <v>2.2999999999999998</v>
      </c>
    </row>
    <row r="21" spans="1:7" x14ac:dyDescent="0.25">
      <c r="A21" s="663"/>
      <c r="B21" s="663"/>
      <c r="C21" s="89" t="s">
        <v>61</v>
      </c>
      <c r="D21" s="157">
        <v>0.15</v>
      </c>
      <c r="E21" s="581">
        <v>27000000</v>
      </c>
      <c r="F21" s="355">
        <f t="shared" si="0"/>
        <v>22950000</v>
      </c>
      <c r="G21" s="355">
        <f t="shared" si="1"/>
        <v>31050000</v>
      </c>
    </row>
    <row r="22" spans="1:7" ht="30" x14ac:dyDescent="0.25">
      <c r="A22" s="663" t="s">
        <v>1541</v>
      </c>
      <c r="B22" s="583" t="s">
        <v>1539</v>
      </c>
      <c r="C22" s="89" t="s">
        <v>88</v>
      </c>
      <c r="D22" s="157">
        <v>0.1</v>
      </c>
      <c r="E22" s="581">
        <v>0.93100000000000005</v>
      </c>
      <c r="F22" s="366">
        <f>E22</f>
        <v>0.93100000000000005</v>
      </c>
      <c r="G22" s="355">
        <v>1</v>
      </c>
    </row>
    <row r="23" spans="1:7" x14ac:dyDescent="0.25">
      <c r="A23" s="663"/>
      <c r="B23" s="672" t="s">
        <v>168</v>
      </c>
      <c r="C23" s="91" t="s">
        <v>109</v>
      </c>
      <c r="D23" s="157">
        <v>0.15</v>
      </c>
      <c r="E23" s="581">
        <v>8.0500000000000002E-2</v>
      </c>
      <c r="F23" s="355">
        <f t="shared" si="0"/>
        <v>6.8425E-2</v>
      </c>
      <c r="G23" s="355">
        <f t="shared" si="1"/>
        <v>9.2575000000000005E-2</v>
      </c>
    </row>
    <row r="24" spans="1:7" x14ac:dyDescent="0.25">
      <c r="A24" s="663"/>
      <c r="B24" s="672"/>
      <c r="C24" s="89" t="s">
        <v>107</v>
      </c>
      <c r="D24" s="157">
        <v>0.15</v>
      </c>
      <c r="E24" s="581">
        <v>0.34499999999999997</v>
      </c>
      <c r="F24" s="355">
        <f t="shared" si="0"/>
        <v>0.29324999999999996</v>
      </c>
      <c r="G24" s="355">
        <f t="shared" si="1"/>
        <v>0.39674999999999999</v>
      </c>
    </row>
    <row r="25" spans="1:7" x14ac:dyDescent="0.25">
      <c r="A25" s="663"/>
      <c r="B25" s="583" t="s">
        <v>1540</v>
      </c>
      <c r="C25" s="91" t="s">
        <v>116</v>
      </c>
      <c r="D25" s="157">
        <v>0.15</v>
      </c>
      <c r="E25" s="581">
        <v>1.1000000000000001</v>
      </c>
      <c r="F25" s="355">
        <f t="shared" si="0"/>
        <v>0.93500000000000005</v>
      </c>
      <c r="G25" s="355">
        <f t="shared" si="1"/>
        <v>1.2650000000000001</v>
      </c>
    </row>
    <row r="26" spans="1:7" x14ac:dyDescent="0.25">
      <c r="A26" s="663"/>
      <c r="B26" s="663" t="s">
        <v>1523</v>
      </c>
      <c r="C26" s="91" t="s">
        <v>120</v>
      </c>
      <c r="D26" s="157">
        <v>0.05</v>
      </c>
      <c r="E26" s="581">
        <v>2090.75</v>
      </c>
      <c r="F26" s="355">
        <f t="shared" si="0"/>
        <v>1986.2125000000001</v>
      </c>
      <c r="G26" s="355">
        <f t="shared" si="1"/>
        <v>2195.2874999999999</v>
      </c>
    </row>
    <row r="27" spans="1:7" x14ac:dyDescent="0.25">
      <c r="A27" s="663"/>
      <c r="B27" s="663"/>
      <c r="C27" s="584" t="s">
        <v>134</v>
      </c>
      <c r="D27" s="585" t="s">
        <v>1545</v>
      </c>
      <c r="E27" s="586">
        <v>0</v>
      </c>
      <c r="F27" s="587">
        <v>0</v>
      </c>
      <c r="G27" s="587">
        <v>1.99</v>
      </c>
    </row>
    <row r="28" spans="1:7" x14ac:dyDescent="0.25">
      <c r="A28" s="664" t="s">
        <v>1544</v>
      </c>
      <c r="B28" s="659" t="s">
        <v>1543</v>
      </c>
      <c r="C28" s="588" t="s">
        <v>1190</v>
      </c>
      <c r="D28" s="585" t="s">
        <v>1545</v>
      </c>
      <c r="E28" s="586">
        <v>5</v>
      </c>
      <c r="F28" s="587">
        <v>3</v>
      </c>
      <c r="G28" s="587">
        <v>10</v>
      </c>
    </row>
    <row r="29" spans="1:7" x14ac:dyDescent="0.25">
      <c r="A29" s="664"/>
      <c r="B29" s="659"/>
      <c r="C29" s="588" t="s">
        <v>1191</v>
      </c>
      <c r="D29" s="585" t="s">
        <v>1545</v>
      </c>
      <c r="E29" s="586">
        <v>5</v>
      </c>
      <c r="F29" s="587">
        <v>3</v>
      </c>
      <c r="G29" s="587">
        <v>10</v>
      </c>
    </row>
    <row r="30" spans="1:7" x14ac:dyDescent="0.25">
      <c r="A30" s="664"/>
      <c r="B30" s="659"/>
      <c r="C30" s="588" t="s">
        <v>1192</v>
      </c>
      <c r="D30" s="585" t="s">
        <v>1545</v>
      </c>
      <c r="E30" s="586">
        <v>5</v>
      </c>
      <c r="F30" s="587">
        <v>3</v>
      </c>
      <c r="G30" s="587">
        <v>10</v>
      </c>
    </row>
    <row r="31" spans="1:7" x14ac:dyDescent="0.25">
      <c r="A31" s="664"/>
      <c r="B31" s="659"/>
      <c r="C31" s="588" t="s">
        <v>1193</v>
      </c>
      <c r="D31" s="585" t="s">
        <v>1545</v>
      </c>
      <c r="E31" s="586">
        <v>5</v>
      </c>
      <c r="F31" s="587">
        <v>3</v>
      </c>
      <c r="G31" s="587">
        <v>10</v>
      </c>
    </row>
    <row r="32" spans="1:7" x14ac:dyDescent="0.25">
      <c r="A32" s="664"/>
      <c r="B32" s="659"/>
      <c r="C32" s="588" t="s">
        <v>1194</v>
      </c>
      <c r="D32" s="585" t="s">
        <v>1545</v>
      </c>
      <c r="E32" s="586">
        <v>5</v>
      </c>
      <c r="F32" s="587">
        <v>3</v>
      </c>
      <c r="G32" s="587">
        <v>10</v>
      </c>
    </row>
    <row r="33" spans="1:13" x14ac:dyDescent="0.25">
      <c r="A33" s="664"/>
      <c r="B33" s="659"/>
      <c r="C33" s="588" t="s">
        <v>1195</v>
      </c>
      <c r="D33" s="585" t="s">
        <v>1545</v>
      </c>
      <c r="E33" s="586">
        <v>5</v>
      </c>
      <c r="F33" s="587">
        <v>3</v>
      </c>
      <c r="G33" s="587">
        <v>10</v>
      </c>
    </row>
    <row r="34" spans="1:13" x14ac:dyDescent="0.25">
      <c r="A34" s="655" t="s">
        <v>18</v>
      </c>
      <c r="B34" s="655" t="s">
        <v>1608</v>
      </c>
      <c r="C34" s="89" t="s">
        <v>1606</v>
      </c>
      <c r="E34" s="643">
        <v>0</v>
      </c>
      <c r="F34" s="645">
        <v>0</v>
      </c>
      <c r="G34" s="645">
        <v>0.1</v>
      </c>
      <c r="H34" s="673" t="s">
        <v>1609</v>
      </c>
      <c r="I34" s="674"/>
      <c r="J34" s="674"/>
      <c r="K34" s="674"/>
      <c r="L34" s="674"/>
      <c r="M34" s="674"/>
    </row>
    <row r="35" spans="1:13" x14ac:dyDescent="0.25">
      <c r="A35" s="655"/>
      <c r="B35" s="655"/>
      <c r="C35" s="89" t="s">
        <v>1602</v>
      </c>
      <c r="E35" s="643">
        <v>0</v>
      </c>
      <c r="F35" s="645">
        <v>0</v>
      </c>
      <c r="G35" s="645">
        <v>0.1</v>
      </c>
      <c r="H35" s="673"/>
      <c r="I35" s="674"/>
      <c r="J35" s="674"/>
      <c r="K35" s="674"/>
      <c r="L35" s="674"/>
      <c r="M35" s="674"/>
    </row>
    <row r="36" spans="1:13" x14ac:dyDescent="0.25">
      <c r="A36" s="655"/>
      <c r="B36" s="655"/>
      <c r="C36" s="89" t="s">
        <v>1603</v>
      </c>
      <c r="E36" s="643">
        <v>0</v>
      </c>
      <c r="F36" s="645">
        <v>0</v>
      </c>
      <c r="G36" s="645">
        <v>0.1</v>
      </c>
      <c r="H36" s="673"/>
      <c r="I36" s="674"/>
      <c r="J36" s="674"/>
      <c r="K36" s="674"/>
      <c r="L36" s="674"/>
      <c r="M36" s="674"/>
    </row>
  </sheetData>
  <mergeCells count="16">
    <mergeCell ref="A34:A36"/>
    <mergeCell ref="B34:B36"/>
    <mergeCell ref="H34:M36"/>
    <mergeCell ref="A2:A9"/>
    <mergeCell ref="B2:B3"/>
    <mergeCell ref="B4:B7"/>
    <mergeCell ref="B8:B9"/>
    <mergeCell ref="A10:A21"/>
    <mergeCell ref="B10:B14"/>
    <mergeCell ref="B15:B19"/>
    <mergeCell ref="B20:B21"/>
    <mergeCell ref="A22:A27"/>
    <mergeCell ref="B23:B24"/>
    <mergeCell ref="B26:B27"/>
    <mergeCell ref="A28:A33"/>
    <mergeCell ref="B28:B33"/>
  </mergeCells>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80" workbookViewId="0">
      <selection activeCell="E92" sqref="E92"/>
    </sheetView>
  </sheetViews>
  <sheetFormatPr defaultRowHeight="15" x14ac:dyDescent="0.25"/>
  <cols>
    <col min="1" max="1" width="27" customWidth="1"/>
    <col min="2" max="2" width="41" customWidth="1"/>
    <col min="3" max="3" width="39.7109375" customWidth="1"/>
    <col min="4" max="4" width="8.140625" style="43" customWidth="1"/>
    <col min="5" max="5" width="28.85546875" style="46" customWidth="1"/>
    <col min="6" max="6" width="22.7109375" style="43" customWidth="1"/>
    <col min="7" max="7" width="45.140625" style="43" customWidth="1"/>
    <col min="8" max="8" width="45.140625" style="355" customWidth="1"/>
    <col min="9" max="9" width="18.140625" style="43" customWidth="1"/>
  </cols>
  <sheetData>
    <row r="1" spans="1:9" x14ac:dyDescent="0.25">
      <c r="A1" s="158" t="s">
        <v>466</v>
      </c>
      <c r="B1" s="158" t="s">
        <v>513</v>
      </c>
      <c r="C1" s="158" t="s">
        <v>467</v>
      </c>
      <c r="D1" s="158" t="s">
        <v>526</v>
      </c>
      <c r="E1" s="272" t="s">
        <v>468</v>
      </c>
      <c r="F1" s="158" t="s">
        <v>408</v>
      </c>
      <c r="G1" s="158" t="s">
        <v>998</v>
      </c>
      <c r="H1" s="367" t="s">
        <v>1131</v>
      </c>
      <c r="I1" s="158" t="s">
        <v>546</v>
      </c>
    </row>
    <row r="2" spans="1:9" ht="60" x14ac:dyDescent="0.25">
      <c r="A2" s="655" t="s">
        <v>469</v>
      </c>
      <c r="B2" s="655" t="s">
        <v>470</v>
      </c>
      <c r="C2" s="655" t="s">
        <v>913</v>
      </c>
      <c r="D2" s="161" t="s">
        <v>529</v>
      </c>
      <c r="E2" s="49" t="s">
        <v>510</v>
      </c>
      <c r="F2" s="160" t="s">
        <v>473</v>
      </c>
      <c r="G2" s="160" t="s">
        <v>540</v>
      </c>
      <c r="H2" s="357"/>
      <c r="I2" s="161"/>
    </row>
    <row r="3" spans="1:9" s="43" customFormat="1" ht="60" x14ac:dyDescent="0.25">
      <c r="A3" s="655"/>
      <c r="B3" s="655"/>
      <c r="C3" s="655"/>
      <c r="D3" s="161" t="s">
        <v>530</v>
      </c>
      <c r="E3" s="269" t="s">
        <v>531</v>
      </c>
      <c r="F3" s="160" t="s">
        <v>532</v>
      </c>
      <c r="G3" s="160" t="s">
        <v>541</v>
      </c>
      <c r="H3" s="357"/>
      <c r="I3" s="161"/>
    </row>
    <row r="4" spans="1:9" s="239" customFormat="1" ht="45" x14ac:dyDescent="0.25">
      <c r="A4" s="655"/>
      <c r="B4" s="655"/>
      <c r="C4" s="655"/>
      <c r="D4" s="162" t="s">
        <v>856</v>
      </c>
      <c r="E4" s="269" t="s">
        <v>999</v>
      </c>
      <c r="F4" s="162" t="s">
        <v>473</v>
      </c>
      <c r="G4" s="162" t="s">
        <v>1198</v>
      </c>
      <c r="H4" s="357" t="s">
        <v>1232</v>
      </c>
      <c r="I4" s="162" t="s">
        <v>912</v>
      </c>
    </row>
    <row r="5" spans="1:9" ht="30" x14ac:dyDescent="0.25">
      <c r="A5" s="655"/>
      <c r="B5" s="655"/>
      <c r="C5" s="655"/>
      <c r="D5" s="43" t="s">
        <v>533</v>
      </c>
      <c r="E5" s="269" t="s">
        <v>471</v>
      </c>
      <c r="F5" s="160" t="s">
        <v>472</v>
      </c>
      <c r="G5" s="25" t="s">
        <v>544</v>
      </c>
      <c r="H5" s="359"/>
      <c r="I5" s="25"/>
    </row>
    <row r="6" spans="1:9" ht="60" x14ac:dyDescent="0.25">
      <c r="A6" s="655"/>
      <c r="B6" s="655"/>
      <c r="C6" s="159" t="s">
        <v>1000</v>
      </c>
      <c r="D6" s="161" t="s">
        <v>543</v>
      </c>
      <c r="E6" s="269" t="s">
        <v>507</v>
      </c>
      <c r="F6" s="160" t="s">
        <v>473</v>
      </c>
      <c r="G6" s="160" t="s">
        <v>542</v>
      </c>
      <c r="H6" s="357"/>
      <c r="I6" s="161"/>
    </row>
    <row r="7" spans="1:9" ht="60" x14ac:dyDescent="0.25">
      <c r="A7" s="655"/>
      <c r="B7" s="655" t="s">
        <v>474</v>
      </c>
      <c r="C7" s="159" t="s">
        <v>1051</v>
      </c>
      <c r="D7" s="161" t="s">
        <v>534</v>
      </c>
      <c r="E7" s="269" t="s">
        <v>538</v>
      </c>
      <c r="F7" s="160" t="s">
        <v>667</v>
      </c>
      <c r="G7" s="160" t="s">
        <v>1001</v>
      </c>
      <c r="H7" s="357" t="s">
        <v>1233</v>
      </c>
      <c r="I7" s="161" t="s">
        <v>914</v>
      </c>
    </row>
    <row r="8" spans="1:9" ht="60" x14ac:dyDescent="0.25">
      <c r="A8" s="655"/>
      <c r="B8" s="655"/>
      <c r="C8" s="655" t="s">
        <v>1050</v>
      </c>
      <c r="D8" s="161" t="s">
        <v>535</v>
      </c>
      <c r="E8" s="49" t="s">
        <v>509</v>
      </c>
      <c r="F8" s="161" t="s">
        <v>819</v>
      </c>
      <c r="G8" s="160" t="s">
        <v>1002</v>
      </c>
      <c r="H8" s="347" t="s">
        <v>1234</v>
      </c>
      <c r="I8" s="161" t="s">
        <v>912</v>
      </c>
    </row>
    <row r="9" spans="1:9" s="43" customFormat="1" ht="45" x14ac:dyDescent="0.25">
      <c r="A9" s="655"/>
      <c r="B9" s="655"/>
      <c r="C9" s="655"/>
      <c r="D9" s="161" t="s">
        <v>536</v>
      </c>
      <c r="E9" s="49" t="s">
        <v>508</v>
      </c>
      <c r="F9" s="161" t="s">
        <v>819</v>
      </c>
      <c r="G9" s="161" t="s">
        <v>545</v>
      </c>
      <c r="H9" s="347" t="s">
        <v>1235</v>
      </c>
      <c r="I9" s="161" t="s">
        <v>912</v>
      </c>
    </row>
    <row r="10" spans="1:9" s="243" customFormat="1" ht="30" x14ac:dyDescent="0.25">
      <c r="A10" s="655"/>
      <c r="B10" s="655"/>
      <c r="C10" s="655"/>
      <c r="D10" s="244" t="s">
        <v>537</v>
      </c>
      <c r="E10" s="49" t="s">
        <v>30</v>
      </c>
      <c r="F10" s="244" t="s">
        <v>971</v>
      </c>
      <c r="G10" s="244" t="s">
        <v>943</v>
      </c>
      <c r="H10" s="357"/>
      <c r="I10" s="244"/>
    </row>
    <row r="11" spans="1:9" s="43" customFormat="1" ht="45" x14ac:dyDescent="0.25">
      <c r="A11" s="655"/>
      <c r="B11" s="655"/>
      <c r="C11" s="159" t="s">
        <v>1069</v>
      </c>
      <c r="D11" s="161" t="s">
        <v>942</v>
      </c>
      <c r="E11" s="49" t="s">
        <v>1067</v>
      </c>
      <c r="F11" s="161" t="s">
        <v>191</v>
      </c>
      <c r="G11" s="161" t="s">
        <v>1068</v>
      </c>
      <c r="H11" s="357" t="s">
        <v>1202</v>
      </c>
      <c r="I11" s="161" t="s">
        <v>912</v>
      </c>
    </row>
    <row r="12" spans="1:9" s="243" customFormat="1" ht="30" x14ac:dyDescent="0.25">
      <c r="A12" s="655"/>
      <c r="B12" s="655"/>
      <c r="C12" s="655" t="s">
        <v>981</v>
      </c>
      <c r="D12" s="244" t="s">
        <v>967</v>
      </c>
      <c r="E12" s="49" t="s">
        <v>29</v>
      </c>
      <c r="F12" s="244" t="s">
        <v>965</v>
      </c>
      <c r="G12" s="244" t="s">
        <v>969</v>
      </c>
      <c r="H12" s="357" t="s">
        <v>1240</v>
      </c>
      <c r="I12" s="244"/>
    </row>
    <row r="13" spans="1:9" s="243" customFormat="1" ht="30" x14ac:dyDescent="0.25">
      <c r="A13" s="655"/>
      <c r="B13" s="655"/>
      <c r="C13" s="655"/>
      <c r="D13" s="244" t="s">
        <v>968</v>
      </c>
      <c r="E13" s="49" t="s">
        <v>27</v>
      </c>
      <c r="F13" s="244" t="s">
        <v>965</v>
      </c>
      <c r="G13" s="244" t="s">
        <v>970</v>
      </c>
      <c r="H13" s="357" t="s">
        <v>1241</v>
      </c>
      <c r="I13" s="244"/>
    </row>
    <row r="14" spans="1:9" s="43" customFormat="1" ht="60" x14ac:dyDescent="0.25">
      <c r="A14" s="655" t="s">
        <v>511</v>
      </c>
      <c r="B14" s="160" t="s">
        <v>516</v>
      </c>
      <c r="C14" s="655" t="s">
        <v>1003</v>
      </c>
      <c r="D14" s="161" t="s">
        <v>549</v>
      </c>
      <c r="E14" s="49" t="s">
        <v>547</v>
      </c>
      <c r="F14" s="160" t="s">
        <v>219</v>
      </c>
      <c r="G14" s="160" t="s">
        <v>1004</v>
      </c>
      <c r="H14" s="357" t="s">
        <v>1201</v>
      </c>
      <c r="I14" s="161" t="s">
        <v>915</v>
      </c>
    </row>
    <row r="15" spans="1:9" s="43" customFormat="1" ht="60" x14ac:dyDescent="0.25">
      <c r="A15" s="655"/>
      <c r="B15" s="160" t="s">
        <v>517</v>
      </c>
      <c r="C15" s="655"/>
      <c r="D15" s="655" t="s">
        <v>550</v>
      </c>
      <c r="E15" s="656" t="s">
        <v>548</v>
      </c>
      <c r="F15" s="655" t="s">
        <v>191</v>
      </c>
      <c r="G15" s="655" t="s">
        <v>551</v>
      </c>
      <c r="H15" s="357" t="s">
        <v>1242</v>
      </c>
      <c r="I15" s="655" t="s">
        <v>557</v>
      </c>
    </row>
    <row r="16" spans="1:9" s="43" customFormat="1" ht="60" x14ac:dyDescent="0.25">
      <c r="A16" s="655"/>
      <c r="B16" s="160" t="s">
        <v>518</v>
      </c>
      <c r="C16" s="655"/>
      <c r="D16" s="655"/>
      <c r="E16" s="656"/>
      <c r="F16" s="655"/>
      <c r="G16" s="655"/>
      <c r="H16" s="357"/>
      <c r="I16" s="655"/>
    </row>
    <row r="17" spans="1:9" s="43" customFormat="1" ht="60" x14ac:dyDescent="0.25">
      <c r="A17" s="655"/>
      <c r="B17" s="655" t="s">
        <v>515</v>
      </c>
      <c r="C17" s="160" t="s">
        <v>555</v>
      </c>
      <c r="D17" s="161" t="s">
        <v>556</v>
      </c>
      <c r="E17" s="49" t="s">
        <v>552</v>
      </c>
      <c r="F17" s="160" t="s">
        <v>553</v>
      </c>
      <c r="G17" s="161" t="s">
        <v>1199</v>
      </c>
      <c r="H17" s="357" t="s">
        <v>1200</v>
      </c>
      <c r="I17" s="161" t="s">
        <v>916</v>
      </c>
    </row>
    <row r="18" spans="1:9" s="243" customFormat="1" x14ac:dyDescent="0.25">
      <c r="A18" s="655"/>
      <c r="B18" s="655"/>
      <c r="C18" s="244" t="s">
        <v>944</v>
      </c>
      <c r="D18" s="244" t="s">
        <v>946</v>
      </c>
      <c r="E18" s="49" t="s">
        <v>147</v>
      </c>
      <c r="F18" s="244" t="s">
        <v>945</v>
      </c>
      <c r="G18" s="244" t="s">
        <v>947</v>
      </c>
      <c r="H18" s="357"/>
      <c r="I18" s="244" t="s">
        <v>912</v>
      </c>
    </row>
    <row r="19" spans="1:9" s="43" customFormat="1" ht="75" x14ac:dyDescent="0.25">
      <c r="A19" s="655" t="s">
        <v>512</v>
      </c>
      <c r="B19" s="655" t="s">
        <v>519</v>
      </c>
      <c r="C19" s="160" t="s">
        <v>920</v>
      </c>
      <c r="D19" s="161" t="s">
        <v>558</v>
      </c>
      <c r="E19" s="49" t="s">
        <v>921</v>
      </c>
      <c r="F19" s="160" t="s">
        <v>473</v>
      </c>
      <c r="G19" s="161" t="s">
        <v>922</v>
      </c>
      <c r="H19" s="357"/>
      <c r="I19" s="161" t="s">
        <v>563</v>
      </c>
    </row>
    <row r="20" spans="1:9" s="43" customFormat="1" ht="90" x14ac:dyDescent="0.25">
      <c r="A20" s="655"/>
      <c r="B20" s="655"/>
      <c r="C20" s="161" t="s">
        <v>919</v>
      </c>
      <c r="D20" s="161" t="s">
        <v>559</v>
      </c>
      <c r="E20" s="49" t="s">
        <v>917</v>
      </c>
      <c r="F20" s="161" t="s">
        <v>473</v>
      </c>
      <c r="G20" s="160" t="s">
        <v>918</v>
      </c>
      <c r="H20" s="347" t="s">
        <v>1237</v>
      </c>
      <c r="I20" s="161" t="s">
        <v>563</v>
      </c>
    </row>
    <row r="21" spans="1:9" s="43" customFormat="1" ht="60" x14ac:dyDescent="0.25">
      <c r="A21" s="655"/>
      <c r="B21" s="655"/>
      <c r="C21" s="161" t="s">
        <v>567</v>
      </c>
      <c r="D21" s="161" t="s">
        <v>566</v>
      </c>
      <c r="E21" s="49" t="s">
        <v>562</v>
      </c>
      <c r="F21" s="160" t="s">
        <v>219</v>
      </c>
      <c r="G21" s="161" t="s">
        <v>565</v>
      </c>
      <c r="H21" s="347" t="s">
        <v>1238</v>
      </c>
      <c r="I21" s="161" t="s">
        <v>563</v>
      </c>
    </row>
    <row r="22" spans="1:9" s="243" customFormat="1" ht="45" x14ac:dyDescent="0.25">
      <c r="A22" s="655"/>
      <c r="B22" s="655"/>
      <c r="C22" s="655" t="s">
        <v>951</v>
      </c>
      <c r="D22" s="244" t="s">
        <v>948</v>
      </c>
      <c r="E22" s="49" t="s">
        <v>148</v>
      </c>
      <c r="F22" s="244" t="s">
        <v>973</v>
      </c>
      <c r="G22" s="244" t="s">
        <v>1005</v>
      </c>
      <c r="H22" s="357"/>
      <c r="I22" s="244"/>
    </row>
    <row r="23" spans="1:9" s="243" customFormat="1" ht="45" x14ac:dyDescent="0.25">
      <c r="A23" s="655"/>
      <c r="B23" s="655"/>
      <c r="C23" s="655"/>
      <c r="D23" s="244" t="s">
        <v>949</v>
      </c>
      <c r="E23" s="49" t="s">
        <v>149</v>
      </c>
      <c r="F23" s="244" t="s">
        <v>973</v>
      </c>
      <c r="G23" s="244" t="s">
        <v>1006</v>
      </c>
      <c r="H23" s="357"/>
      <c r="I23" s="244"/>
    </row>
    <row r="24" spans="1:9" s="43" customFormat="1" ht="75" x14ac:dyDescent="0.25">
      <c r="A24" s="655"/>
      <c r="B24" s="655" t="s">
        <v>520</v>
      </c>
      <c r="C24" s="160" t="s">
        <v>568</v>
      </c>
      <c r="D24" s="161" t="s">
        <v>560</v>
      </c>
      <c r="E24" s="49" t="s">
        <v>561</v>
      </c>
      <c r="F24" s="160" t="s">
        <v>473</v>
      </c>
      <c r="G24" s="160" t="s">
        <v>963</v>
      </c>
      <c r="H24" s="347" t="s">
        <v>1239</v>
      </c>
      <c r="I24" s="161" t="s">
        <v>564</v>
      </c>
    </row>
    <row r="25" spans="1:9" s="243" customFormat="1" ht="45" x14ac:dyDescent="0.25">
      <c r="A25" s="655"/>
      <c r="B25" s="655"/>
      <c r="C25" s="159" t="s">
        <v>1007</v>
      </c>
      <c r="D25" s="244" t="s">
        <v>950</v>
      </c>
      <c r="E25" s="49" t="s">
        <v>150</v>
      </c>
      <c r="F25" s="244" t="s">
        <v>973</v>
      </c>
      <c r="G25" s="244" t="s">
        <v>1008</v>
      </c>
      <c r="H25" s="357"/>
      <c r="I25" s="244"/>
    </row>
    <row r="26" spans="1:9" ht="45" x14ac:dyDescent="0.25">
      <c r="A26" s="655" t="s">
        <v>475</v>
      </c>
      <c r="B26" s="47" t="s">
        <v>476</v>
      </c>
      <c r="C26" s="159" t="s">
        <v>477</v>
      </c>
      <c r="D26" s="161" t="s">
        <v>569</v>
      </c>
      <c r="E26" s="49" t="s">
        <v>478</v>
      </c>
      <c r="F26" s="160" t="s">
        <v>473</v>
      </c>
      <c r="G26" s="160" t="s">
        <v>570</v>
      </c>
      <c r="H26" s="357"/>
      <c r="I26" s="161" t="s">
        <v>574</v>
      </c>
    </row>
    <row r="27" spans="1:9" ht="45" x14ac:dyDescent="0.25">
      <c r="A27" s="655"/>
      <c r="B27" s="655" t="s">
        <v>479</v>
      </c>
      <c r="C27" s="47" t="s">
        <v>480</v>
      </c>
      <c r="D27" s="161" t="s">
        <v>735</v>
      </c>
      <c r="E27" s="49" t="s">
        <v>1080</v>
      </c>
      <c r="F27" s="160" t="s">
        <v>473</v>
      </c>
      <c r="G27" s="160" t="s">
        <v>1081</v>
      </c>
      <c r="H27" s="357" t="s">
        <v>1203</v>
      </c>
      <c r="I27" s="161" t="s">
        <v>924</v>
      </c>
    </row>
    <row r="28" spans="1:9" s="189" customFormat="1" ht="45" x14ac:dyDescent="0.25">
      <c r="A28" s="655"/>
      <c r="B28" s="655"/>
      <c r="C28" s="655" t="s">
        <v>737</v>
      </c>
      <c r="D28" s="162" t="s">
        <v>736</v>
      </c>
      <c r="E28" s="49" t="s">
        <v>1078</v>
      </c>
      <c r="F28" s="162" t="s">
        <v>473</v>
      </c>
      <c r="G28" s="162" t="s">
        <v>1079</v>
      </c>
      <c r="H28" s="357" t="s">
        <v>1204</v>
      </c>
      <c r="I28" s="162" t="s">
        <v>557</v>
      </c>
    </row>
    <row r="29" spans="1:9" s="243" customFormat="1" ht="30" x14ac:dyDescent="0.25">
      <c r="A29" s="655"/>
      <c r="B29" s="655"/>
      <c r="C29" s="655"/>
      <c r="D29" s="244" t="s">
        <v>953</v>
      </c>
      <c r="E29" s="49" t="s">
        <v>21</v>
      </c>
      <c r="F29" s="244" t="s">
        <v>959</v>
      </c>
      <c r="G29" s="655" t="s">
        <v>961</v>
      </c>
      <c r="H29" s="357" t="s">
        <v>1205</v>
      </c>
      <c r="I29" s="244"/>
    </row>
    <row r="30" spans="1:9" s="243" customFormat="1" ht="30" x14ac:dyDescent="0.25">
      <c r="A30" s="655"/>
      <c r="B30" s="655"/>
      <c r="C30" s="655"/>
      <c r="D30" s="244" t="s">
        <v>954</v>
      </c>
      <c r="E30" s="49" t="s">
        <v>22</v>
      </c>
      <c r="F30" s="244" t="s">
        <v>959</v>
      </c>
      <c r="G30" s="655"/>
      <c r="H30" s="357" t="s">
        <v>1206</v>
      </c>
      <c r="I30" s="244"/>
    </row>
    <row r="31" spans="1:9" s="243" customFormat="1" ht="30" x14ac:dyDescent="0.25">
      <c r="A31" s="655"/>
      <c r="B31" s="655"/>
      <c r="C31" s="655"/>
      <c r="D31" s="244" t="s">
        <v>955</v>
      </c>
      <c r="E31" s="49" t="s">
        <v>23</v>
      </c>
      <c r="F31" s="244" t="s">
        <v>959</v>
      </c>
      <c r="G31" s="655"/>
      <c r="H31" s="357" t="s">
        <v>1207</v>
      </c>
      <c r="I31" s="244"/>
    </row>
    <row r="32" spans="1:9" s="243" customFormat="1" x14ac:dyDescent="0.25">
      <c r="A32" s="655"/>
      <c r="B32" s="655"/>
      <c r="C32" s="655"/>
      <c r="D32" s="244" t="s">
        <v>956</v>
      </c>
      <c r="E32" s="49" t="s">
        <v>24</v>
      </c>
      <c r="F32" s="244" t="s">
        <v>959</v>
      </c>
      <c r="G32" s="655" t="s">
        <v>960</v>
      </c>
      <c r="H32" s="357" t="s">
        <v>1208</v>
      </c>
      <c r="I32" s="244"/>
    </row>
    <row r="33" spans="1:9" s="243" customFormat="1" x14ac:dyDescent="0.25">
      <c r="A33" s="655"/>
      <c r="B33" s="655"/>
      <c r="C33" s="655"/>
      <c r="D33" s="244" t="s">
        <v>957</v>
      </c>
      <c r="E33" s="49" t="s">
        <v>25</v>
      </c>
      <c r="F33" s="244" t="s">
        <v>959</v>
      </c>
      <c r="G33" s="655"/>
      <c r="H33" s="357" t="s">
        <v>1209</v>
      </c>
      <c r="I33" s="244"/>
    </row>
    <row r="34" spans="1:9" s="243" customFormat="1" x14ac:dyDescent="0.25">
      <c r="A34" s="655"/>
      <c r="B34" s="655"/>
      <c r="C34" s="655"/>
      <c r="D34" s="244" t="s">
        <v>958</v>
      </c>
      <c r="E34" s="49" t="s">
        <v>26</v>
      </c>
      <c r="F34" s="244" t="s">
        <v>959</v>
      </c>
      <c r="G34" s="655"/>
      <c r="H34" s="357" t="s">
        <v>1210</v>
      </c>
      <c r="I34" s="244"/>
    </row>
    <row r="35" spans="1:9" ht="75" x14ac:dyDescent="0.25">
      <c r="A35" s="655"/>
      <c r="B35" s="655" t="s">
        <v>481</v>
      </c>
      <c r="C35" s="655" t="s">
        <v>482</v>
      </c>
      <c r="D35" s="161" t="s">
        <v>571</v>
      </c>
      <c r="E35" s="49" t="s">
        <v>483</v>
      </c>
      <c r="F35" s="160" t="s">
        <v>843</v>
      </c>
      <c r="G35" s="160" t="s">
        <v>1130</v>
      </c>
      <c r="H35" s="357" t="s">
        <v>1211</v>
      </c>
      <c r="I35" s="161" t="s">
        <v>575</v>
      </c>
    </row>
    <row r="36" spans="1:9" s="243" customFormat="1" ht="60" x14ac:dyDescent="0.25">
      <c r="A36" s="655"/>
      <c r="B36" s="655"/>
      <c r="C36" s="655"/>
      <c r="D36" s="244" t="s">
        <v>952</v>
      </c>
      <c r="E36" s="49" t="s">
        <v>20</v>
      </c>
      <c r="F36" s="244" t="s">
        <v>959</v>
      </c>
      <c r="G36" s="244" t="s">
        <v>962</v>
      </c>
      <c r="H36" s="357"/>
      <c r="I36" s="244"/>
    </row>
    <row r="37" spans="1:9" ht="45" x14ac:dyDescent="0.25">
      <c r="A37" s="655"/>
      <c r="B37" s="47" t="s">
        <v>484</v>
      </c>
      <c r="C37" s="47" t="s">
        <v>485</v>
      </c>
      <c r="D37" s="161" t="s">
        <v>572</v>
      </c>
      <c r="E37" s="49" t="s">
        <v>486</v>
      </c>
      <c r="F37" s="160" t="s">
        <v>473</v>
      </c>
      <c r="G37" s="160" t="s">
        <v>573</v>
      </c>
      <c r="H37" s="357"/>
      <c r="I37" s="161" t="s">
        <v>923</v>
      </c>
    </row>
    <row r="38" spans="1:9" s="43" customFormat="1" ht="75" x14ac:dyDescent="0.25">
      <c r="A38" s="655" t="s">
        <v>521</v>
      </c>
      <c r="B38" s="161" t="s">
        <v>522</v>
      </c>
      <c r="C38" s="161" t="s">
        <v>925</v>
      </c>
      <c r="D38" s="161" t="s">
        <v>527</v>
      </c>
      <c r="E38" s="49" t="s">
        <v>1122</v>
      </c>
      <c r="F38" s="161" t="s">
        <v>582</v>
      </c>
      <c r="G38" s="161" t="s">
        <v>576</v>
      </c>
      <c r="H38" s="357" t="s">
        <v>1212</v>
      </c>
      <c r="I38" s="161" t="s">
        <v>575</v>
      </c>
    </row>
    <row r="39" spans="1:9" s="43" customFormat="1" ht="75" x14ac:dyDescent="0.25">
      <c r="A39" s="655"/>
      <c r="B39" s="161" t="s">
        <v>523</v>
      </c>
      <c r="C39" s="161" t="s">
        <v>926</v>
      </c>
      <c r="D39" s="161" t="s">
        <v>528</v>
      </c>
      <c r="E39" s="49" t="s">
        <v>1123</v>
      </c>
      <c r="F39" s="173" t="s">
        <v>1053</v>
      </c>
      <c r="G39" s="161" t="s">
        <v>577</v>
      </c>
      <c r="H39" s="357"/>
      <c r="I39" s="161" t="s">
        <v>574</v>
      </c>
    </row>
    <row r="40" spans="1:9" s="43" customFormat="1" ht="45" x14ac:dyDescent="0.25">
      <c r="A40" s="655"/>
      <c r="B40" s="655" t="s">
        <v>525</v>
      </c>
      <c r="C40" s="655" t="s">
        <v>1009</v>
      </c>
      <c r="D40" s="161" t="s">
        <v>761</v>
      </c>
      <c r="E40" s="49" t="s">
        <v>500</v>
      </c>
      <c r="F40" s="161" t="s">
        <v>583</v>
      </c>
      <c r="G40" s="161" t="s">
        <v>1092</v>
      </c>
      <c r="H40" s="357"/>
      <c r="I40" s="161" t="s">
        <v>557</v>
      </c>
    </row>
    <row r="41" spans="1:9" s="191" customFormat="1" ht="45" x14ac:dyDescent="0.25">
      <c r="A41" s="655"/>
      <c r="B41" s="655"/>
      <c r="C41" s="655"/>
      <c r="D41" s="162" t="s">
        <v>760</v>
      </c>
      <c r="E41" s="49" t="s">
        <v>758</v>
      </c>
      <c r="F41" s="162" t="s">
        <v>759</v>
      </c>
      <c r="G41" s="162" t="s">
        <v>1091</v>
      </c>
      <c r="H41" s="357" t="s">
        <v>1213</v>
      </c>
      <c r="I41" s="162" t="s">
        <v>1093</v>
      </c>
    </row>
    <row r="42" spans="1:9" s="43" customFormat="1" ht="75" x14ac:dyDescent="0.25">
      <c r="A42" s="655"/>
      <c r="B42" s="161" t="s">
        <v>524</v>
      </c>
      <c r="C42" s="161" t="s">
        <v>584</v>
      </c>
      <c r="D42" s="161" t="s">
        <v>580</v>
      </c>
      <c r="E42" s="49" t="s">
        <v>581</v>
      </c>
      <c r="F42" s="161" t="s">
        <v>191</v>
      </c>
      <c r="G42" s="161" t="s">
        <v>1010</v>
      </c>
      <c r="H42" s="357"/>
      <c r="I42" s="161"/>
    </row>
    <row r="43" spans="1:9" ht="30" x14ac:dyDescent="0.25">
      <c r="A43" s="655" t="s">
        <v>487</v>
      </c>
      <c r="B43" s="655" t="s">
        <v>488</v>
      </c>
      <c r="C43" s="655" t="s">
        <v>1011</v>
      </c>
      <c r="D43" s="161" t="s">
        <v>585</v>
      </c>
      <c r="E43" s="49" t="s">
        <v>1012</v>
      </c>
      <c r="F43" s="160" t="s">
        <v>591</v>
      </c>
      <c r="G43" s="160" t="s">
        <v>592</v>
      </c>
      <c r="H43" s="357"/>
      <c r="I43" s="161"/>
    </row>
    <row r="44" spans="1:9" s="43" customFormat="1" ht="75" x14ac:dyDescent="0.25">
      <c r="A44" s="655"/>
      <c r="B44" s="655"/>
      <c r="C44" s="655"/>
      <c r="D44" s="161" t="s">
        <v>586</v>
      </c>
      <c r="E44" s="49" t="s">
        <v>1013</v>
      </c>
      <c r="F44" s="161" t="s">
        <v>591</v>
      </c>
      <c r="G44" s="161" t="s">
        <v>1014</v>
      </c>
      <c r="H44" s="357"/>
      <c r="I44" s="161"/>
    </row>
    <row r="45" spans="1:9" ht="45" x14ac:dyDescent="0.25">
      <c r="A45" s="655"/>
      <c r="B45" s="655"/>
      <c r="C45" s="655"/>
      <c r="D45" s="161" t="s">
        <v>587</v>
      </c>
      <c r="E45" s="49" t="s">
        <v>1015</v>
      </c>
      <c r="F45" s="160" t="s">
        <v>539</v>
      </c>
      <c r="G45" s="161" t="s">
        <v>593</v>
      </c>
      <c r="H45" s="357"/>
      <c r="I45" s="161"/>
    </row>
    <row r="46" spans="1:9" s="43" customFormat="1" ht="45" x14ac:dyDescent="0.25">
      <c r="A46" s="655"/>
      <c r="B46" s="655"/>
      <c r="C46" s="655"/>
      <c r="D46" s="161" t="s">
        <v>588</v>
      </c>
      <c r="E46" s="49" t="s">
        <v>1016</v>
      </c>
      <c r="F46" s="161" t="s">
        <v>591</v>
      </c>
      <c r="G46" s="161" t="s">
        <v>1017</v>
      </c>
      <c r="H46" s="357"/>
      <c r="I46" s="161"/>
    </row>
    <row r="47" spans="1:9" ht="225" x14ac:dyDescent="0.25">
      <c r="A47" s="655"/>
      <c r="B47" s="655"/>
      <c r="C47" s="655" t="s">
        <v>927</v>
      </c>
      <c r="D47" s="161" t="s">
        <v>596</v>
      </c>
      <c r="E47" s="269" t="s">
        <v>821</v>
      </c>
      <c r="F47" s="160" t="s">
        <v>667</v>
      </c>
      <c r="G47" s="161" t="s">
        <v>1099</v>
      </c>
      <c r="H47" s="357" t="s">
        <v>1214</v>
      </c>
      <c r="I47" s="159" t="s">
        <v>799</v>
      </c>
    </row>
    <row r="48" spans="1:9" s="43" customFormat="1" ht="75" x14ac:dyDescent="0.25">
      <c r="A48" s="655"/>
      <c r="B48" s="655"/>
      <c r="C48" s="655"/>
      <c r="D48" s="161" t="s">
        <v>597</v>
      </c>
      <c r="E48" s="269" t="s">
        <v>820</v>
      </c>
      <c r="F48" s="161" t="s">
        <v>818</v>
      </c>
      <c r="G48" s="159" t="s">
        <v>1019</v>
      </c>
      <c r="H48" s="368" t="s">
        <v>1215</v>
      </c>
      <c r="I48" s="159" t="s">
        <v>930</v>
      </c>
    </row>
    <row r="49" spans="1:9" s="43" customFormat="1" ht="60" x14ac:dyDescent="0.25">
      <c r="A49" s="655"/>
      <c r="B49" s="655"/>
      <c r="C49" s="655"/>
      <c r="D49" s="161" t="s">
        <v>598</v>
      </c>
      <c r="E49" s="269" t="s">
        <v>829</v>
      </c>
      <c r="F49" s="161" t="s">
        <v>819</v>
      </c>
      <c r="G49" s="159" t="s">
        <v>1020</v>
      </c>
      <c r="H49" s="368" t="s">
        <v>1216</v>
      </c>
      <c r="I49" s="159" t="s">
        <v>1097</v>
      </c>
    </row>
    <row r="50" spans="1:9" s="43" customFormat="1" ht="75" x14ac:dyDescent="0.25">
      <c r="A50" s="655"/>
      <c r="B50" s="655"/>
      <c r="C50" s="655" t="s">
        <v>927</v>
      </c>
      <c r="D50" s="161" t="s">
        <v>599</v>
      </c>
      <c r="E50" s="269" t="s">
        <v>602</v>
      </c>
      <c r="F50" s="161" t="s">
        <v>603</v>
      </c>
      <c r="G50" s="159" t="s">
        <v>605</v>
      </c>
      <c r="H50" s="368"/>
      <c r="I50" s="159"/>
    </row>
    <row r="51" spans="1:9" s="43" customFormat="1" ht="45" x14ac:dyDescent="0.25">
      <c r="A51" s="655"/>
      <c r="B51" s="655"/>
      <c r="C51" s="655"/>
      <c r="D51" s="161" t="s">
        <v>600</v>
      </c>
      <c r="E51" s="269" t="s">
        <v>604</v>
      </c>
      <c r="F51" s="161" t="s">
        <v>472</v>
      </c>
      <c r="G51" s="159" t="s">
        <v>1021</v>
      </c>
      <c r="H51" s="368"/>
      <c r="I51" s="159"/>
    </row>
    <row r="52" spans="1:9" s="43" customFormat="1" ht="60" x14ac:dyDescent="0.25">
      <c r="A52" s="655"/>
      <c r="B52" s="655"/>
      <c r="C52" s="655"/>
      <c r="D52" s="161" t="s">
        <v>601</v>
      </c>
      <c r="E52" s="269" t="s">
        <v>828</v>
      </c>
      <c r="F52" s="161" t="s">
        <v>819</v>
      </c>
      <c r="G52" s="159" t="s">
        <v>1022</v>
      </c>
      <c r="H52" s="368" t="s">
        <v>1217</v>
      </c>
      <c r="I52" s="159" t="s">
        <v>1096</v>
      </c>
    </row>
    <row r="53" spans="1:9" s="213" customFormat="1" ht="240" x14ac:dyDescent="0.25">
      <c r="A53" s="655"/>
      <c r="B53" s="655"/>
      <c r="C53" s="655"/>
      <c r="D53" s="162" t="s">
        <v>831</v>
      </c>
      <c r="E53" s="269" t="s">
        <v>830</v>
      </c>
      <c r="F53" s="162" t="s">
        <v>667</v>
      </c>
      <c r="G53" s="162" t="s">
        <v>1098</v>
      </c>
      <c r="H53" s="357" t="s">
        <v>1218</v>
      </c>
      <c r="I53" s="159" t="s">
        <v>799</v>
      </c>
    </row>
    <row r="54" spans="1:9" ht="45" x14ac:dyDescent="0.25">
      <c r="A54" s="655" t="s">
        <v>489</v>
      </c>
      <c r="B54" s="655" t="s">
        <v>490</v>
      </c>
      <c r="C54" s="655" t="s">
        <v>660</v>
      </c>
      <c r="D54" s="161" t="s">
        <v>607</v>
      </c>
      <c r="E54" s="49" t="s">
        <v>1024</v>
      </c>
      <c r="F54" s="160" t="s">
        <v>473</v>
      </c>
      <c r="G54" s="160" t="s">
        <v>606</v>
      </c>
      <c r="H54" s="357"/>
    </row>
    <row r="55" spans="1:9" ht="30" x14ac:dyDescent="0.25">
      <c r="A55" s="655"/>
      <c r="B55" s="655"/>
      <c r="C55" s="655"/>
      <c r="D55" s="161" t="s">
        <v>608</v>
      </c>
      <c r="E55" s="49" t="s">
        <v>1136</v>
      </c>
      <c r="F55" s="160" t="s">
        <v>473</v>
      </c>
      <c r="G55" s="161" t="s">
        <v>1139</v>
      </c>
      <c r="H55" s="357" t="s">
        <v>1219</v>
      </c>
      <c r="I55" s="161" t="s">
        <v>931</v>
      </c>
    </row>
    <row r="56" spans="1:9" ht="30" x14ac:dyDescent="0.25">
      <c r="A56" s="655"/>
      <c r="B56" s="655"/>
      <c r="C56" s="655"/>
      <c r="D56" s="161" t="s">
        <v>609</v>
      </c>
      <c r="E56" s="49" t="s">
        <v>494</v>
      </c>
      <c r="F56" s="160" t="s">
        <v>493</v>
      </c>
      <c r="G56" s="160" t="s">
        <v>1025</v>
      </c>
      <c r="H56" s="357"/>
      <c r="I56" s="161"/>
    </row>
    <row r="57" spans="1:9" ht="30" x14ac:dyDescent="0.25">
      <c r="A57" s="655"/>
      <c r="B57" s="655"/>
      <c r="C57" s="655"/>
      <c r="D57" s="161" t="s">
        <v>610</v>
      </c>
      <c r="E57" s="49" t="s">
        <v>495</v>
      </c>
      <c r="F57" s="160" t="s">
        <v>191</v>
      </c>
      <c r="G57" s="160" t="s">
        <v>1026</v>
      </c>
      <c r="H57" s="357"/>
      <c r="I57" s="161"/>
    </row>
    <row r="58" spans="1:9" ht="30" x14ac:dyDescent="0.25">
      <c r="A58" s="655"/>
      <c r="B58" s="655"/>
      <c r="C58" s="655"/>
      <c r="D58" s="161" t="s">
        <v>611</v>
      </c>
      <c r="E58" s="49" t="s">
        <v>635</v>
      </c>
      <c r="F58" s="161" t="s">
        <v>636</v>
      </c>
      <c r="G58" s="160" t="s">
        <v>649</v>
      </c>
      <c r="H58" s="357"/>
      <c r="I58" s="161"/>
    </row>
    <row r="59" spans="1:9" s="43" customFormat="1" ht="30" x14ac:dyDescent="0.25">
      <c r="A59" s="655"/>
      <c r="B59" s="655"/>
      <c r="C59" s="655"/>
      <c r="D59" s="161" t="s">
        <v>640</v>
      </c>
      <c r="E59" s="49" t="s">
        <v>644</v>
      </c>
      <c r="F59" s="161" t="s">
        <v>645</v>
      </c>
      <c r="G59" s="161" t="s">
        <v>650</v>
      </c>
      <c r="H59" s="357" t="s">
        <v>1220</v>
      </c>
      <c r="I59" s="161" t="s">
        <v>912</v>
      </c>
    </row>
    <row r="60" spans="1:9" s="308" customFormat="1" ht="30" x14ac:dyDescent="0.25">
      <c r="A60" s="655"/>
      <c r="B60" s="655"/>
      <c r="C60" s="655"/>
      <c r="D60" s="325" t="s">
        <v>1102</v>
      </c>
      <c r="E60" s="326" t="s">
        <v>1107</v>
      </c>
      <c r="F60" s="325" t="s">
        <v>1101</v>
      </c>
      <c r="G60" s="325" t="s">
        <v>1106</v>
      </c>
      <c r="H60" s="357" t="s">
        <v>1222</v>
      </c>
      <c r="I60" s="325" t="s">
        <v>912</v>
      </c>
    </row>
    <row r="61" spans="1:9" ht="30" x14ac:dyDescent="0.25">
      <c r="A61" s="655"/>
      <c r="B61" s="655"/>
      <c r="C61" s="655"/>
      <c r="D61" s="161" t="s">
        <v>612</v>
      </c>
      <c r="E61" s="49" t="s">
        <v>1109</v>
      </c>
      <c r="F61" s="161" t="s">
        <v>493</v>
      </c>
      <c r="G61" s="160" t="s">
        <v>630</v>
      </c>
      <c r="H61" s="357"/>
      <c r="I61" s="161"/>
    </row>
    <row r="62" spans="1:9" ht="30" x14ac:dyDescent="0.25">
      <c r="A62" s="655"/>
      <c r="B62" s="655"/>
      <c r="C62" s="655"/>
      <c r="D62" s="161" t="s">
        <v>613</v>
      </c>
      <c r="E62" s="49" t="s">
        <v>1110</v>
      </c>
      <c r="F62" s="160" t="s">
        <v>191</v>
      </c>
      <c r="G62" s="161" t="s">
        <v>625</v>
      </c>
      <c r="H62" s="357"/>
      <c r="I62" s="161"/>
    </row>
    <row r="63" spans="1:9" ht="30" x14ac:dyDescent="0.25">
      <c r="A63" s="655"/>
      <c r="B63" s="655"/>
      <c r="C63" s="655"/>
      <c r="D63" s="161" t="s">
        <v>614</v>
      </c>
      <c r="E63" s="49" t="s">
        <v>1111</v>
      </c>
      <c r="F63" s="161" t="s">
        <v>636</v>
      </c>
      <c r="G63" s="161" t="s">
        <v>651</v>
      </c>
      <c r="H63" s="357"/>
      <c r="I63" s="161"/>
    </row>
    <row r="64" spans="1:9" s="43" customFormat="1" ht="30" x14ac:dyDescent="0.25">
      <c r="A64" s="655"/>
      <c r="B64" s="655"/>
      <c r="C64" s="655"/>
      <c r="D64" s="161" t="s">
        <v>641</v>
      </c>
      <c r="E64" s="49" t="s">
        <v>1112</v>
      </c>
      <c r="F64" s="161" t="s">
        <v>645</v>
      </c>
      <c r="G64" s="161" t="s">
        <v>652</v>
      </c>
      <c r="H64" s="357" t="s">
        <v>1221</v>
      </c>
      <c r="I64" s="161" t="s">
        <v>912</v>
      </c>
    </row>
    <row r="65" spans="1:9" s="308" customFormat="1" ht="30" x14ac:dyDescent="0.25">
      <c r="A65" s="655"/>
      <c r="B65" s="655"/>
      <c r="C65" s="655"/>
      <c r="D65" s="325" t="s">
        <v>1104</v>
      </c>
      <c r="E65" s="326" t="s">
        <v>1108</v>
      </c>
      <c r="F65" s="325" t="s">
        <v>1101</v>
      </c>
      <c r="G65" s="325" t="s">
        <v>1105</v>
      </c>
      <c r="H65" s="357" t="s">
        <v>1223</v>
      </c>
      <c r="I65" s="325" t="s">
        <v>912</v>
      </c>
    </row>
    <row r="66" spans="1:9" s="43" customFormat="1" ht="30" x14ac:dyDescent="0.25">
      <c r="A66" s="655"/>
      <c r="B66" s="655"/>
      <c r="C66" s="655"/>
      <c r="D66" s="161" t="s">
        <v>615</v>
      </c>
      <c r="E66" s="49" t="s">
        <v>631</v>
      </c>
      <c r="F66" s="161" t="s">
        <v>493</v>
      </c>
      <c r="G66" s="161" t="s">
        <v>628</v>
      </c>
      <c r="H66" s="357"/>
      <c r="I66" s="161"/>
    </row>
    <row r="67" spans="1:9" s="43" customFormat="1" ht="30" x14ac:dyDescent="0.25">
      <c r="A67" s="655"/>
      <c r="B67" s="655"/>
      <c r="C67" s="655"/>
      <c r="D67" s="161" t="s">
        <v>616</v>
      </c>
      <c r="E67" s="49" t="s">
        <v>633</v>
      </c>
      <c r="F67" s="161" t="s">
        <v>191</v>
      </c>
      <c r="G67" s="161" t="s">
        <v>626</v>
      </c>
      <c r="H67" s="357"/>
      <c r="I67" s="161"/>
    </row>
    <row r="68" spans="1:9" s="43" customFormat="1" ht="30" x14ac:dyDescent="0.25">
      <c r="A68" s="655"/>
      <c r="B68" s="655"/>
      <c r="C68" s="655"/>
      <c r="D68" s="161" t="s">
        <v>617</v>
      </c>
      <c r="E68" s="49" t="s">
        <v>638</v>
      </c>
      <c r="F68" s="161" t="s">
        <v>636</v>
      </c>
      <c r="G68" s="161" t="s">
        <v>653</v>
      </c>
      <c r="H68" s="357"/>
      <c r="I68" s="161"/>
    </row>
    <row r="69" spans="1:9" s="43" customFormat="1" ht="60" x14ac:dyDescent="0.25">
      <c r="A69" s="655"/>
      <c r="B69" s="655"/>
      <c r="C69" s="655"/>
      <c r="D69" s="161" t="s">
        <v>642</v>
      </c>
      <c r="E69" s="49" t="s">
        <v>647</v>
      </c>
      <c r="F69" s="161" t="s">
        <v>645</v>
      </c>
      <c r="G69" s="161" t="s">
        <v>654</v>
      </c>
      <c r="H69" s="357"/>
      <c r="I69" s="325" t="s">
        <v>1100</v>
      </c>
    </row>
    <row r="70" spans="1:9" s="43" customFormat="1" ht="30" x14ac:dyDescent="0.25">
      <c r="A70" s="655"/>
      <c r="B70" s="655"/>
      <c r="C70" s="655"/>
      <c r="D70" s="161" t="s">
        <v>618</v>
      </c>
      <c r="E70" s="49" t="s">
        <v>632</v>
      </c>
      <c r="F70" s="161" t="s">
        <v>493</v>
      </c>
      <c r="G70" s="161" t="s">
        <v>629</v>
      </c>
      <c r="H70" s="357"/>
      <c r="I70" s="161"/>
    </row>
    <row r="71" spans="1:9" s="43" customFormat="1" ht="30" x14ac:dyDescent="0.25">
      <c r="A71" s="655"/>
      <c r="B71" s="655"/>
      <c r="C71" s="655"/>
      <c r="D71" s="161" t="s">
        <v>619</v>
      </c>
      <c r="E71" s="49" t="s">
        <v>634</v>
      </c>
      <c r="F71" s="161" t="s">
        <v>191</v>
      </c>
      <c r="G71" s="161" t="s">
        <v>627</v>
      </c>
      <c r="H71" s="357"/>
      <c r="I71" s="161"/>
    </row>
    <row r="72" spans="1:9" s="43" customFormat="1" ht="30" x14ac:dyDescent="0.25">
      <c r="A72" s="655"/>
      <c r="B72" s="655"/>
      <c r="C72" s="655"/>
      <c r="D72" s="161" t="s">
        <v>620</v>
      </c>
      <c r="E72" s="49" t="s">
        <v>639</v>
      </c>
      <c r="F72" s="161" t="s">
        <v>636</v>
      </c>
      <c r="G72" s="161" t="s">
        <v>655</v>
      </c>
      <c r="H72" s="357"/>
      <c r="I72" s="161"/>
    </row>
    <row r="73" spans="1:9" s="43" customFormat="1" ht="30" x14ac:dyDescent="0.25">
      <c r="A73" s="655"/>
      <c r="B73" s="655"/>
      <c r="C73" s="655"/>
      <c r="D73" s="161" t="s">
        <v>643</v>
      </c>
      <c r="E73" s="49" t="s">
        <v>648</v>
      </c>
      <c r="F73" s="161" t="s">
        <v>645</v>
      </c>
      <c r="G73" s="161" t="s">
        <v>656</v>
      </c>
      <c r="H73" s="357"/>
      <c r="I73" s="161"/>
    </row>
    <row r="74" spans="1:9" s="191" customFormat="1" ht="30" x14ac:dyDescent="0.25">
      <c r="A74" s="655"/>
      <c r="B74" s="655"/>
      <c r="C74" s="655"/>
      <c r="D74" s="162" t="s">
        <v>801</v>
      </c>
      <c r="E74" s="49" t="s">
        <v>800</v>
      </c>
      <c r="F74" s="162" t="s">
        <v>645</v>
      </c>
      <c r="G74" s="162" t="s">
        <v>802</v>
      </c>
      <c r="H74" s="357" t="s">
        <v>1224</v>
      </c>
      <c r="I74" s="161" t="s">
        <v>933</v>
      </c>
    </row>
    <row r="75" spans="1:9" s="43" customFormat="1" ht="60" x14ac:dyDescent="0.25">
      <c r="A75" s="655"/>
      <c r="B75" s="655"/>
      <c r="C75" s="655"/>
      <c r="D75" s="161" t="s">
        <v>621</v>
      </c>
      <c r="E75" s="49" t="s">
        <v>657</v>
      </c>
      <c r="F75" s="161" t="s">
        <v>645</v>
      </c>
      <c r="G75" s="161" t="s">
        <v>1226</v>
      </c>
      <c r="H75" s="357" t="s">
        <v>1225</v>
      </c>
      <c r="I75" s="244" t="s">
        <v>1116</v>
      </c>
    </row>
    <row r="76" spans="1:9" s="43" customFormat="1" ht="60" x14ac:dyDescent="0.25">
      <c r="A76" s="655"/>
      <c r="B76" s="655"/>
      <c r="C76" s="655" t="s">
        <v>661</v>
      </c>
      <c r="D76" s="161" t="s">
        <v>622</v>
      </c>
      <c r="E76" s="49" t="s">
        <v>505</v>
      </c>
      <c r="F76" s="160" t="s">
        <v>498</v>
      </c>
      <c r="G76" s="161" t="s">
        <v>662</v>
      </c>
      <c r="H76" s="357" t="s">
        <v>1227</v>
      </c>
      <c r="I76" s="161" t="s">
        <v>935</v>
      </c>
    </row>
    <row r="77" spans="1:9" s="43" customFormat="1" ht="30" x14ac:dyDescent="0.25">
      <c r="A77" s="655"/>
      <c r="B77" s="655"/>
      <c r="C77" s="655"/>
      <c r="D77" s="161" t="s">
        <v>623</v>
      </c>
      <c r="E77" s="49" t="s">
        <v>658</v>
      </c>
      <c r="F77" s="161" t="s">
        <v>498</v>
      </c>
      <c r="G77" s="161" t="s">
        <v>663</v>
      </c>
      <c r="H77" s="357" t="s">
        <v>1228</v>
      </c>
      <c r="I77" s="161" t="s">
        <v>935</v>
      </c>
    </row>
    <row r="78" spans="1:9" ht="60" x14ac:dyDescent="0.25">
      <c r="A78" s="655"/>
      <c r="B78" s="655"/>
      <c r="C78" s="47" t="s">
        <v>1027</v>
      </c>
      <c r="D78" s="161" t="s">
        <v>624</v>
      </c>
      <c r="E78" s="49" t="s">
        <v>1029</v>
      </c>
      <c r="F78" s="160" t="s">
        <v>499</v>
      </c>
      <c r="G78" s="160" t="s">
        <v>1028</v>
      </c>
      <c r="H78" s="357" t="s">
        <v>1229</v>
      </c>
      <c r="I78" s="161" t="s">
        <v>1119</v>
      </c>
    </row>
    <row r="79" spans="1:9" x14ac:dyDescent="0.25">
      <c r="A79" s="655" t="s">
        <v>501</v>
      </c>
      <c r="B79" s="655" t="s">
        <v>502</v>
      </c>
      <c r="C79" s="655" t="s">
        <v>1030</v>
      </c>
      <c r="D79" s="161" t="s">
        <v>879</v>
      </c>
      <c r="E79" s="49" t="s">
        <v>881</v>
      </c>
      <c r="F79" s="160" t="s">
        <v>473</v>
      </c>
      <c r="G79" s="160" t="s">
        <v>882</v>
      </c>
      <c r="H79" s="357" t="s">
        <v>1230</v>
      </c>
      <c r="I79" s="161" t="s">
        <v>937</v>
      </c>
    </row>
    <row r="80" spans="1:9" s="243" customFormat="1" x14ac:dyDescent="0.25">
      <c r="A80" s="655"/>
      <c r="B80" s="655"/>
      <c r="C80" s="655"/>
      <c r="D80" s="655" t="s">
        <v>880</v>
      </c>
      <c r="E80" s="656" t="s">
        <v>902</v>
      </c>
      <c r="F80" s="655" t="s">
        <v>473</v>
      </c>
      <c r="G80" s="655" t="s">
        <v>903</v>
      </c>
      <c r="H80" s="357"/>
      <c r="I80" s="162"/>
    </row>
    <row r="81" spans="1:9" s="243" customFormat="1" x14ac:dyDescent="0.25">
      <c r="A81" s="655"/>
      <c r="B81" s="655" t="s">
        <v>889</v>
      </c>
      <c r="C81" s="655"/>
      <c r="D81" s="655"/>
      <c r="E81" s="656"/>
      <c r="F81" s="655"/>
      <c r="G81" s="655"/>
      <c r="H81" s="357"/>
      <c r="I81" s="162"/>
    </row>
    <row r="82" spans="1:9" s="243" customFormat="1" ht="60" x14ac:dyDescent="0.25">
      <c r="A82" s="655"/>
      <c r="B82" s="655"/>
      <c r="C82" s="655"/>
      <c r="D82" s="244" t="s">
        <v>964</v>
      </c>
      <c r="E82" s="49" t="s">
        <v>28</v>
      </c>
      <c r="F82" s="244" t="s">
        <v>965</v>
      </c>
      <c r="G82" s="244" t="s">
        <v>966</v>
      </c>
      <c r="H82" s="347" t="s">
        <v>1236</v>
      </c>
      <c r="I82" s="244"/>
    </row>
    <row r="83" spans="1:9" ht="75" x14ac:dyDescent="0.25">
      <c r="A83" s="655"/>
      <c r="B83" s="47" t="s">
        <v>503</v>
      </c>
      <c r="C83" s="47" t="s">
        <v>939</v>
      </c>
      <c r="D83" s="161" t="s">
        <v>878</v>
      </c>
      <c r="E83" s="49" t="s">
        <v>877</v>
      </c>
      <c r="F83" s="160" t="s">
        <v>473</v>
      </c>
      <c r="G83" s="160" t="s">
        <v>1031</v>
      </c>
      <c r="H83" s="357"/>
      <c r="I83" s="161"/>
    </row>
    <row r="84" spans="1:9" ht="75" x14ac:dyDescent="0.25">
      <c r="A84" s="655"/>
      <c r="B84" s="47" t="s">
        <v>504</v>
      </c>
      <c r="C84" s="47" t="s">
        <v>938</v>
      </c>
      <c r="D84" s="161" t="s">
        <v>883</v>
      </c>
      <c r="E84" s="49" t="s">
        <v>884</v>
      </c>
      <c r="F84" s="160" t="s">
        <v>473</v>
      </c>
      <c r="G84" s="160" t="s">
        <v>1032</v>
      </c>
      <c r="H84" s="357" t="s">
        <v>1231</v>
      </c>
      <c r="I84" s="161" t="s">
        <v>940</v>
      </c>
    </row>
    <row r="85" spans="1:9" ht="60" x14ac:dyDescent="0.25">
      <c r="A85" s="655"/>
      <c r="B85" s="192" t="s">
        <v>887</v>
      </c>
      <c r="C85" s="162" t="s">
        <v>1033</v>
      </c>
      <c r="D85" s="162" t="s">
        <v>888</v>
      </c>
      <c r="E85" s="49" t="s">
        <v>1054</v>
      </c>
      <c r="F85" s="162" t="s">
        <v>886</v>
      </c>
      <c r="G85" s="162" t="s">
        <v>1055</v>
      </c>
      <c r="H85" s="357"/>
    </row>
  </sheetData>
  <mergeCells count="45">
    <mergeCell ref="B27:B34"/>
    <mergeCell ref="A38:A42"/>
    <mergeCell ref="F15:F16"/>
    <mergeCell ref="G15:G16"/>
    <mergeCell ref="G29:G31"/>
    <mergeCell ref="G32:G34"/>
    <mergeCell ref="I15:I16"/>
    <mergeCell ref="D15:D16"/>
    <mergeCell ref="E15:E16"/>
    <mergeCell ref="A79:A85"/>
    <mergeCell ref="C2:C5"/>
    <mergeCell ref="C14:C16"/>
    <mergeCell ref="B2:B6"/>
    <mergeCell ref="A14:A18"/>
    <mergeCell ref="B17:B18"/>
    <mergeCell ref="B19:B23"/>
    <mergeCell ref="A19:A25"/>
    <mergeCell ref="B24:B25"/>
    <mergeCell ref="C22:C23"/>
    <mergeCell ref="C8:C10"/>
    <mergeCell ref="B35:B36"/>
    <mergeCell ref="C35:C36"/>
    <mergeCell ref="A2:A13"/>
    <mergeCell ref="B7:B13"/>
    <mergeCell ref="C12:C13"/>
    <mergeCell ref="C43:C46"/>
    <mergeCell ref="C76:C77"/>
    <mergeCell ref="C54:C75"/>
    <mergeCell ref="A54:A78"/>
    <mergeCell ref="B54:B78"/>
    <mergeCell ref="A26:A37"/>
    <mergeCell ref="A43:A53"/>
    <mergeCell ref="C40:C41"/>
    <mergeCell ref="B40:B41"/>
    <mergeCell ref="C47:C49"/>
    <mergeCell ref="C50:C53"/>
    <mergeCell ref="B43:B53"/>
    <mergeCell ref="C28:C34"/>
    <mergeCell ref="G80:G81"/>
    <mergeCell ref="E80:E81"/>
    <mergeCell ref="B79:B80"/>
    <mergeCell ref="D80:D81"/>
    <mergeCell ref="F80:F81"/>
    <mergeCell ref="B81:B82"/>
    <mergeCell ref="C79:C82"/>
  </mergeCells>
  <phoneticPr fontId="26" type="noConversion"/>
  <pageMargins left="0.7" right="0.7" top="0.75" bottom="0.75" header="0.3" footer="0.3"/>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A3" sqref="A3:A9"/>
    </sheetView>
  </sheetViews>
  <sheetFormatPr defaultColWidth="9" defaultRowHeight="15" x14ac:dyDescent="0.25"/>
  <cols>
    <col min="1" max="1" width="27" style="355" customWidth="1"/>
    <col min="2" max="2" width="41" style="355" customWidth="1"/>
    <col min="3" max="3" width="39.7109375" style="355" customWidth="1"/>
    <col min="4" max="4" width="28.85546875" style="358" customWidth="1"/>
    <col min="5" max="5" width="22.7109375" style="355" customWidth="1"/>
    <col min="6" max="6" width="66.28515625" style="355" customWidth="1"/>
    <col min="7" max="7" width="45.140625" style="355" customWidth="1"/>
    <col min="8" max="8" width="18.140625" style="355" customWidth="1"/>
    <col min="9" max="16384" width="9" style="355"/>
  </cols>
  <sheetData>
    <row r="1" spans="1:8" x14ac:dyDescent="0.25">
      <c r="A1" s="348" t="s">
        <v>466</v>
      </c>
      <c r="B1" s="348" t="s">
        <v>513</v>
      </c>
      <c r="C1" s="348" t="s">
        <v>467</v>
      </c>
      <c r="D1" s="351" t="s">
        <v>1244</v>
      </c>
      <c r="E1" s="348" t="s">
        <v>408</v>
      </c>
      <c r="F1" s="348" t="s">
        <v>998</v>
      </c>
      <c r="G1" s="348" t="s">
        <v>1131</v>
      </c>
      <c r="H1" s="348" t="s">
        <v>546</v>
      </c>
    </row>
    <row r="2" spans="1:8" x14ac:dyDescent="0.25">
      <c r="A2" s="676" t="s">
        <v>1248</v>
      </c>
      <c r="B2" s="676"/>
      <c r="C2" s="676"/>
      <c r="D2" s="676"/>
      <c r="E2" s="676"/>
      <c r="F2" s="676"/>
      <c r="G2" s="676"/>
      <c r="H2" s="676"/>
    </row>
    <row r="3" spans="1:8" ht="62.25" customHeight="1" x14ac:dyDescent="0.25">
      <c r="A3" s="675" t="s">
        <v>469</v>
      </c>
      <c r="B3" s="354" t="s">
        <v>470</v>
      </c>
      <c r="C3" s="354" t="s">
        <v>913</v>
      </c>
      <c r="D3" s="350" t="s">
        <v>999</v>
      </c>
      <c r="E3" s="350" t="s">
        <v>473</v>
      </c>
      <c r="F3" s="350" t="s">
        <v>1198</v>
      </c>
      <c r="G3" s="350" t="s">
        <v>1232</v>
      </c>
      <c r="H3" s="350" t="s">
        <v>912</v>
      </c>
    </row>
    <row r="4" spans="1:8" ht="45" x14ac:dyDescent="0.25">
      <c r="A4" s="675"/>
      <c r="B4" s="675" t="s">
        <v>474</v>
      </c>
      <c r="C4" s="350" t="s">
        <v>1051</v>
      </c>
      <c r="D4" s="353" t="s">
        <v>538</v>
      </c>
      <c r="E4" s="354" t="s">
        <v>667</v>
      </c>
      <c r="F4" s="354" t="s">
        <v>1001</v>
      </c>
      <c r="G4" s="354" t="s">
        <v>1233</v>
      </c>
      <c r="H4" s="354" t="s">
        <v>914</v>
      </c>
    </row>
    <row r="5" spans="1:8" ht="60" x14ac:dyDescent="0.25">
      <c r="A5" s="675"/>
      <c r="B5" s="675"/>
      <c r="C5" s="675" t="s">
        <v>1050</v>
      </c>
      <c r="D5" s="349" t="s">
        <v>509</v>
      </c>
      <c r="E5" s="354" t="s">
        <v>819</v>
      </c>
      <c r="F5" s="354" t="s">
        <v>1002</v>
      </c>
      <c r="G5" s="352" t="s">
        <v>1234</v>
      </c>
      <c r="H5" s="354" t="s">
        <v>912</v>
      </c>
    </row>
    <row r="6" spans="1:8" ht="30" x14ac:dyDescent="0.25">
      <c r="A6" s="675"/>
      <c r="B6" s="675"/>
      <c r="C6" s="675"/>
      <c r="D6" s="349" t="s">
        <v>508</v>
      </c>
      <c r="E6" s="354" t="s">
        <v>819</v>
      </c>
      <c r="F6" s="354" t="s">
        <v>545</v>
      </c>
      <c r="G6" s="352" t="s">
        <v>1235</v>
      </c>
      <c r="H6" s="354" t="s">
        <v>912</v>
      </c>
    </row>
    <row r="7" spans="1:8" ht="30" x14ac:dyDescent="0.25">
      <c r="A7" s="675"/>
      <c r="B7" s="675"/>
      <c r="C7" s="350" t="s">
        <v>1069</v>
      </c>
      <c r="D7" s="349" t="s">
        <v>1067</v>
      </c>
      <c r="E7" s="354" t="s">
        <v>191</v>
      </c>
      <c r="F7" s="354" t="s">
        <v>1068</v>
      </c>
      <c r="G7" s="354" t="s">
        <v>1202</v>
      </c>
      <c r="H7" s="354" t="s">
        <v>912</v>
      </c>
    </row>
    <row r="8" spans="1:8" ht="30" x14ac:dyDescent="0.25">
      <c r="A8" s="675"/>
      <c r="B8" s="675"/>
      <c r="C8" s="675" t="s">
        <v>981</v>
      </c>
      <c r="D8" s="349" t="s">
        <v>29</v>
      </c>
      <c r="E8" s="354" t="s">
        <v>965</v>
      </c>
      <c r="F8" s="354" t="s">
        <v>969</v>
      </c>
      <c r="G8" s="354" t="s">
        <v>1240</v>
      </c>
      <c r="H8" s="354"/>
    </row>
    <row r="9" spans="1:8" x14ac:dyDescent="0.25">
      <c r="A9" s="675"/>
      <c r="B9" s="675"/>
      <c r="C9" s="675"/>
      <c r="D9" s="349" t="s">
        <v>27</v>
      </c>
      <c r="E9" s="354" t="s">
        <v>965</v>
      </c>
      <c r="F9" s="354" t="s">
        <v>970</v>
      </c>
      <c r="G9" s="354" t="s">
        <v>1241</v>
      </c>
      <c r="H9" s="354"/>
    </row>
    <row r="10" spans="1:8" x14ac:dyDescent="0.25">
      <c r="A10" s="676" t="s">
        <v>1246</v>
      </c>
      <c r="B10" s="676"/>
      <c r="C10" s="676"/>
      <c r="D10" s="676"/>
      <c r="E10" s="676"/>
      <c r="F10" s="676"/>
      <c r="G10" s="676"/>
      <c r="H10" s="676"/>
    </row>
    <row r="11" spans="1:8" ht="60" x14ac:dyDescent="0.25">
      <c r="A11" s="675" t="s">
        <v>511</v>
      </c>
      <c r="B11" s="354" t="s">
        <v>516</v>
      </c>
      <c r="C11" s="675" t="s">
        <v>1003</v>
      </c>
      <c r="D11" s="349" t="s">
        <v>547</v>
      </c>
      <c r="E11" s="354" t="s">
        <v>219</v>
      </c>
      <c r="F11" s="354" t="s">
        <v>1004</v>
      </c>
      <c r="G11" s="354" t="s">
        <v>1201</v>
      </c>
      <c r="H11" s="354" t="s">
        <v>915</v>
      </c>
    </row>
    <row r="12" spans="1:8" ht="60" x14ac:dyDescent="0.25">
      <c r="A12" s="675"/>
      <c r="B12" s="354" t="s">
        <v>517</v>
      </c>
      <c r="C12" s="675"/>
      <c r="D12" s="353" t="s">
        <v>548</v>
      </c>
      <c r="E12" s="350" t="s">
        <v>191</v>
      </c>
      <c r="F12" s="350" t="s">
        <v>551</v>
      </c>
      <c r="G12" s="354" t="s">
        <v>1245</v>
      </c>
      <c r="H12" s="350" t="s">
        <v>557</v>
      </c>
    </row>
    <row r="13" spans="1:8" ht="90" x14ac:dyDescent="0.25">
      <c r="A13" s="675"/>
      <c r="B13" s="354" t="s">
        <v>515</v>
      </c>
      <c r="C13" s="354" t="s">
        <v>555</v>
      </c>
      <c r="D13" s="349" t="s">
        <v>552</v>
      </c>
      <c r="E13" s="354" t="s">
        <v>553</v>
      </c>
      <c r="F13" s="354" t="s">
        <v>1199</v>
      </c>
      <c r="G13" s="354" t="s">
        <v>1200</v>
      </c>
      <c r="H13" s="354" t="s">
        <v>916</v>
      </c>
    </row>
    <row r="14" spans="1:8" s="676" customFormat="1" ht="14.25" customHeight="1" x14ac:dyDescent="0.25">
      <c r="A14" s="676" t="s">
        <v>1249</v>
      </c>
    </row>
    <row r="15" spans="1:8" ht="60" x14ac:dyDescent="0.25">
      <c r="A15" s="675" t="s">
        <v>512</v>
      </c>
      <c r="B15" s="675" t="s">
        <v>519</v>
      </c>
      <c r="C15" s="354" t="s">
        <v>919</v>
      </c>
      <c r="D15" s="349" t="s">
        <v>917</v>
      </c>
      <c r="E15" s="354" t="s">
        <v>473</v>
      </c>
      <c r="F15" s="354" t="s">
        <v>918</v>
      </c>
      <c r="G15" s="352" t="s">
        <v>1237</v>
      </c>
      <c r="H15" s="354" t="s">
        <v>563</v>
      </c>
    </row>
    <row r="16" spans="1:8" ht="60" x14ac:dyDescent="0.25">
      <c r="A16" s="675"/>
      <c r="B16" s="675"/>
      <c r="C16" s="354" t="s">
        <v>567</v>
      </c>
      <c r="D16" s="349" t="s">
        <v>562</v>
      </c>
      <c r="E16" s="354" t="s">
        <v>219</v>
      </c>
      <c r="F16" s="354" t="s">
        <v>565</v>
      </c>
      <c r="G16" s="352" t="s">
        <v>1238</v>
      </c>
      <c r="H16" s="354" t="s">
        <v>563</v>
      </c>
    </row>
    <row r="17" spans="1:8" ht="75" x14ac:dyDescent="0.25">
      <c r="A17" s="675"/>
      <c r="B17" s="354" t="s">
        <v>520</v>
      </c>
      <c r="C17" s="354" t="s">
        <v>568</v>
      </c>
      <c r="D17" s="349" t="s">
        <v>561</v>
      </c>
      <c r="E17" s="354" t="s">
        <v>473</v>
      </c>
      <c r="F17" s="354" t="s">
        <v>963</v>
      </c>
      <c r="G17" s="352" t="s">
        <v>1239</v>
      </c>
      <c r="H17" s="354" t="s">
        <v>564</v>
      </c>
    </row>
    <row r="18" spans="1:8" x14ac:dyDescent="0.25">
      <c r="A18" s="676" t="s">
        <v>1247</v>
      </c>
      <c r="B18" s="676"/>
      <c r="C18" s="676"/>
      <c r="D18" s="676"/>
      <c r="E18" s="676"/>
      <c r="F18" s="676"/>
      <c r="G18" s="676"/>
      <c r="H18" s="676"/>
    </row>
    <row r="19" spans="1:8" ht="45" x14ac:dyDescent="0.25">
      <c r="A19" s="675" t="s">
        <v>475</v>
      </c>
      <c r="B19" s="675" t="s">
        <v>479</v>
      </c>
      <c r="C19" s="354" t="s">
        <v>480</v>
      </c>
      <c r="D19" s="349" t="s">
        <v>1080</v>
      </c>
      <c r="E19" s="354" t="s">
        <v>473</v>
      </c>
      <c r="F19" s="354" t="s">
        <v>1081</v>
      </c>
      <c r="G19" s="354" t="s">
        <v>1203</v>
      </c>
      <c r="H19" s="354" t="s">
        <v>924</v>
      </c>
    </row>
    <row r="20" spans="1:8" ht="45" x14ac:dyDescent="0.25">
      <c r="A20" s="675"/>
      <c r="B20" s="675"/>
      <c r="C20" s="675" t="s">
        <v>737</v>
      </c>
      <c r="D20" s="349" t="s">
        <v>1078</v>
      </c>
      <c r="E20" s="354" t="s">
        <v>473</v>
      </c>
      <c r="F20" s="354" t="s">
        <v>1079</v>
      </c>
      <c r="G20" s="354" t="s">
        <v>1204</v>
      </c>
      <c r="H20" s="354" t="s">
        <v>557</v>
      </c>
    </row>
    <row r="21" spans="1:8" ht="30" x14ac:dyDescent="0.25">
      <c r="A21" s="675"/>
      <c r="B21" s="675"/>
      <c r="C21" s="675"/>
      <c r="D21" s="349" t="s">
        <v>21</v>
      </c>
      <c r="E21" s="354" t="s">
        <v>959</v>
      </c>
      <c r="F21" s="675" t="s">
        <v>961</v>
      </c>
      <c r="G21" s="354" t="s">
        <v>1205</v>
      </c>
      <c r="H21" s="354"/>
    </row>
    <row r="22" spans="1:8" ht="30" x14ac:dyDescent="0.25">
      <c r="A22" s="675"/>
      <c r="B22" s="675"/>
      <c r="C22" s="675"/>
      <c r="D22" s="349" t="s">
        <v>22</v>
      </c>
      <c r="E22" s="354" t="s">
        <v>959</v>
      </c>
      <c r="F22" s="675"/>
      <c r="G22" s="354" t="s">
        <v>1206</v>
      </c>
      <c r="H22" s="354"/>
    </row>
    <row r="23" spans="1:8" ht="30" x14ac:dyDescent="0.25">
      <c r="A23" s="675"/>
      <c r="B23" s="675"/>
      <c r="C23" s="675"/>
      <c r="D23" s="349" t="s">
        <v>23</v>
      </c>
      <c r="E23" s="354" t="s">
        <v>959</v>
      </c>
      <c r="F23" s="675"/>
      <c r="G23" s="354" t="s">
        <v>1207</v>
      </c>
      <c r="H23" s="354"/>
    </row>
    <row r="24" spans="1:8" x14ac:dyDescent="0.25">
      <c r="A24" s="675"/>
      <c r="B24" s="675"/>
      <c r="C24" s="675"/>
      <c r="D24" s="349" t="s">
        <v>24</v>
      </c>
      <c r="E24" s="354" t="s">
        <v>959</v>
      </c>
      <c r="F24" s="675" t="s">
        <v>960</v>
      </c>
      <c r="G24" s="354" t="s">
        <v>1208</v>
      </c>
      <c r="H24" s="354"/>
    </row>
    <row r="25" spans="1:8" x14ac:dyDescent="0.25">
      <c r="A25" s="675"/>
      <c r="B25" s="675"/>
      <c r="C25" s="675"/>
      <c r="D25" s="349" t="s">
        <v>25</v>
      </c>
      <c r="E25" s="354" t="s">
        <v>959</v>
      </c>
      <c r="F25" s="675"/>
      <c r="G25" s="354" t="s">
        <v>1209</v>
      </c>
      <c r="H25" s="354"/>
    </row>
    <row r="26" spans="1:8" x14ac:dyDescent="0.25">
      <c r="A26" s="675"/>
      <c r="B26" s="675"/>
      <c r="C26" s="675"/>
      <c r="D26" s="349" t="s">
        <v>26</v>
      </c>
      <c r="E26" s="354" t="s">
        <v>959</v>
      </c>
      <c r="F26" s="675"/>
      <c r="G26" s="354" t="s">
        <v>1210</v>
      </c>
      <c r="H26" s="354"/>
    </row>
    <row r="27" spans="1:8" ht="60" x14ac:dyDescent="0.25">
      <c r="A27" s="675"/>
      <c r="B27" s="354" t="s">
        <v>481</v>
      </c>
      <c r="C27" s="354" t="s">
        <v>482</v>
      </c>
      <c r="D27" s="349" t="s">
        <v>483</v>
      </c>
      <c r="E27" s="354" t="s">
        <v>843</v>
      </c>
      <c r="F27" s="354" t="s">
        <v>1130</v>
      </c>
      <c r="G27" s="354" t="s">
        <v>1211</v>
      </c>
      <c r="H27" s="354" t="s">
        <v>575</v>
      </c>
    </row>
    <row r="28" spans="1:8" x14ac:dyDescent="0.25">
      <c r="A28" s="676" t="s">
        <v>1250</v>
      </c>
      <c r="B28" s="676"/>
      <c r="C28" s="676"/>
      <c r="D28" s="676"/>
      <c r="E28" s="676"/>
      <c r="F28" s="676"/>
      <c r="G28" s="676"/>
      <c r="H28" s="676"/>
    </row>
    <row r="29" spans="1:8" ht="75" x14ac:dyDescent="0.25">
      <c r="A29" s="675" t="s">
        <v>521</v>
      </c>
      <c r="B29" s="354" t="s">
        <v>522</v>
      </c>
      <c r="C29" s="354" t="s">
        <v>925</v>
      </c>
      <c r="D29" s="349" t="s">
        <v>1122</v>
      </c>
      <c r="E29" s="354" t="s">
        <v>582</v>
      </c>
      <c r="F29" s="354" t="s">
        <v>576</v>
      </c>
      <c r="G29" s="354" t="s">
        <v>1212</v>
      </c>
      <c r="H29" s="354" t="s">
        <v>575</v>
      </c>
    </row>
    <row r="30" spans="1:8" ht="120" x14ac:dyDescent="0.25">
      <c r="A30" s="675"/>
      <c r="B30" s="354" t="s">
        <v>525</v>
      </c>
      <c r="C30" s="354" t="s">
        <v>1009</v>
      </c>
      <c r="D30" s="349" t="s">
        <v>758</v>
      </c>
      <c r="E30" s="354" t="s">
        <v>759</v>
      </c>
      <c r="F30" s="354" t="s">
        <v>1091</v>
      </c>
      <c r="G30" s="354" t="s">
        <v>1213</v>
      </c>
      <c r="H30" s="354" t="s">
        <v>1093</v>
      </c>
    </row>
    <row r="31" spans="1:8" x14ac:dyDescent="0.25">
      <c r="A31" s="676" t="s">
        <v>1251</v>
      </c>
      <c r="B31" s="676"/>
      <c r="C31" s="676"/>
      <c r="D31" s="676"/>
      <c r="E31" s="676"/>
      <c r="F31" s="676"/>
      <c r="G31" s="676"/>
      <c r="H31" s="676"/>
    </row>
    <row r="32" spans="1:8" ht="105" x14ac:dyDescent="0.25">
      <c r="A32" s="675" t="s">
        <v>487</v>
      </c>
      <c r="B32" s="675" t="s">
        <v>488</v>
      </c>
      <c r="C32" s="675" t="s">
        <v>1243</v>
      </c>
      <c r="D32" s="353" t="s">
        <v>821</v>
      </c>
      <c r="E32" s="354" t="s">
        <v>667</v>
      </c>
      <c r="F32" s="354" t="s">
        <v>1018</v>
      </c>
      <c r="G32" s="354" t="s">
        <v>1214</v>
      </c>
      <c r="H32" s="350" t="s">
        <v>799</v>
      </c>
    </row>
    <row r="33" spans="1:8" ht="45" x14ac:dyDescent="0.25">
      <c r="A33" s="675"/>
      <c r="B33" s="675"/>
      <c r="C33" s="675"/>
      <c r="D33" s="353" t="s">
        <v>820</v>
      </c>
      <c r="E33" s="354" t="s">
        <v>818</v>
      </c>
      <c r="F33" s="350" t="s">
        <v>1019</v>
      </c>
      <c r="G33" s="350" t="s">
        <v>1215</v>
      </c>
      <c r="H33" s="350" t="s">
        <v>930</v>
      </c>
    </row>
    <row r="34" spans="1:8" ht="30" x14ac:dyDescent="0.25">
      <c r="A34" s="675"/>
      <c r="B34" s="675"/>
      <c r="C34" s="675"/>
      <c r="D34" s="353" t="s">
        <v>829</v>
      </c>
      <c r="E34" s="354" t="s">
        <v>819</v>
      </c>
      <c r="F34" s="350" t="s">
        <v>1020</v>
      </c>
      <c r="G34" s="350" t="s">
        <v>1216</v>
      </c>
      <c r="H34" s="350" t="s">
        <v>1097</v>
      </c>
    </row>
    <row r="35" spans="1:8" ht="30" x14ac:dyDescent="0.25">
      <c r="A35" s="675"/>
      <c r="B35" s="675"/>
      <c r="C35" s="675" t="s">
        <v>1243</v>
      </c>
      <c r="D35" s="353" t="s">
        <v>828</v>
      </c>
      <c r="E35" s="354" t="s">
        <v>819</v>
      </c>
      <c r="F35" s="350" t="s">
        <v>1022</v>
      </c>
      <c r="G35" s="350" t="s">
        <v>1217</v>
      </c>
      <c r="H35" s="350" t="s">
        <v>1096</v>
      </c>
    </row>
    <row r="36" spans="1:8" ht="105" x14ac:dyDescent="0.25">
      <c r="A36" s="675"/>
      <c r="B36" s="675"/>
      <c r="C36" s="675"/>
      <c r="D36" s="353" t="s">
        <v>830</v>
      </c>
      <c r="E36" s="354" t="s">
        <v>667</v>
      </c>
      <c r="F36" s="354" t="s">
        <v>1023</v>
      </c>
      <c r="G36" s="354" t="s">
        <v>1218</v>
      </c>
      <c r="H36" s="350" t="s">
        <v>799</v>
      </c>
    </row>
    <row r="37" spans="1:8" x14ac:dyDescent="0.25">
      <c r="A37" s="676" t="s">
        <v>1252</v>
      </c>
      <c r="B37" s="676"/>
      <c r="C37" s="676"/>
      <c r="D37" s="676"/>
      <c r="E37" s="676"/>
      <c r="F37" s="676"/>
      <c r="G37" s="676"/>
      <c r="H37" s="676"/>
    </row>
    <row r="38" spans="1:8" ht="30" x14ac:dyDescent="0.25">
      <c r="A38" s="675" t="s">
        <v>489</v>
      </c>
      <c r="B38" s="675" t="s">
        <v>490</v>
      </c>
      <c r="C38" s="675" t="s">
        <v>660</v>
      </c>
      <c r="D38" s="349" t="s">
        <v>1136</v>
      </c>
      <c r="E38" s="354" t="s">
        <v>473</v>
      </c>
      <c r="F38" s="354" t="s">
        <v>1139</v>
      </c>
      <c r="G38" s="354" t="s">
        <v>1219</v>
      </c>
      <c r="H38" s="354" t="s">
        <v>931</v>
      </c>
    </row>
    <row r="39" spans="1:8" ht="30" x14ac:dyDescent="0.25">
      <c r="A39" s="675"/>
      <c r="B39" s="675"/>
      <c r="C39" s="675"/>
      <c r="D39" s="349" t="s">
        <v>644</v>
      </c>
      <c r="E39" s="354" t="s">
        <v>645</v>
      </c>
      <c r="F39" s="354" t="s">
        <v>650</v>
      </c>
      <c r="G39" s="354" t="s">
        <v>1220</v>
      </c>
      <c r="H39" s="354" t="s">
        <v>912</v>
      </c>
    </row>
    <row r="40" spans="1:8" ht="30" x14ac:dyDescent="0.25">
      <c r="A40" s="675"/>
      <c r="B40" s="675"/>
      <c r="C40" s="675"/>
      <c r="D40" s="349" t="s">
        <v>1107</v>
      </c>
      <c r="E40" s="354" t="s">
        <v>1101</v>
      </c>
      <c r="F40" s="354" t="s">
        <v>1106</v>
      </c>
      <c r="G40" s="354" t="s">
        <v>1222</v>
      </c>
      <c r="H40" s="354" t="s">
        <v>912</v>
      </c>
    </row>
    <row r="41" spans="1:8" ht="30" x14ac:dyDescent="0.25">
      <c r="A41" s="675"/>
      <c r="B41" s="675"/>
      <c r="C41" s="675"/>
      <c r="D41" s="349" t="s">
        <v>1112</v>
      </c>
      <c r="E41" s="354" t="s">
        <v>645</v>
      </c>
      <c r="F41" s="354" t="s">
        <v>652</v>
      </c>
      <c r="G41" s="354" t="s">
        <v>1221</v>
      </c>
      <c r="H41" s="354" t="s">
        <v>912</v>
      </c>
    </row>
    <row r="42" spans="1:8" ht="30" x14ac:dyDescent="0.25">
      <c r="A42" s="675"/>
      <c r="B42" s="675"/>
      <c r="C42" s="675"/>
      <c r="D42" s="349" t="s">
        <v>1108</v>
      </c>
      <c r="E42" s="354" t="s">
        <v>1101</v>
      </c>
      <c r="F42" s="354" t="s">
        <v>1105</v>
      </c>
      <c r="G42" s="354" t="s">
        <v>1223</v>
      </c>
      <c r="H42" s="354" t="s">
        <v>912</v>
      </c>
    </row>
    <row r="43" spans="1:8" ht="30" x14ac:dyDescent="0.25">
      <c r="A43" s="675"/>
      <c r="B43" s="675"/>
      <c r="C43" s="675"/>
      <c r="D43" s="349" t="s">
        <v>800</v>
      </c>
      <c r="E43" s="354" t="s">
        <v>645</v>
      </c>
      <c r="F43" s="354" t="s">
        <v>802</v>
      </c>
      <c r="G43" s="354" t="s">
        <v>1224</v>
      </c>
      <c r="H43" s="354" t="s">
        <v>933</v>
      </c>
    </row>
    <row r="44" spans="1:8" ht="45" x14ac:dyDescent="0.25">
      <c r="A44" s="675"/>
      <c r="B44" s="675"/>
      <c r="C44" s="675"/>
      <c r="D44" s="349" t="s">
        <v>657</v>
      </c>
      <c r="E44" s="354" t="s">
        <v>645</v>
      </c>
      <c r="F44" s="354" t="s">
        <v>1226</v>
      </c>
      <c r="G44" s="354" t="s">
        <v>1225</v>
      </c>
      <c r="H44" s="354" t="s">
        <v>1116</v>
      </c>
    </row>
    <row r="45" spans="1:8" ht="45" x14ac:dyDescent="0.25">
      <c r="A45" s="675"/>
      <c r="B45" s="675"/>
      <c r="C45" s="675" t="s">
        <v>661</v>
      </c>
      <c r="D45" s="349" t="s">
        <v>505</v>
      </c>
      <c r="E45" s="354" t="s">
        <v>498</v>
      </c>
      <c r="F45" s="354" t="s">
        <v>662</v>
      </c>
      <c r="G45" s="354" t="s">
        <v>1227</v>
      </c>
      <c r="H45" s="354" t="s">
        <v>935</v>
      </c>
    </row>
    <row r="46" spans="1:8" ht="30" x14ac:dyDescent="0.25">
      <c r="A46" s="675"/>
      <c r="B46" s="675"/>
      <c r="C46" s="675"/>
      <c r="D46" s="349" t="s">
        <v>658</v>
      </c>
      <c r="E46" s="354" t="s">
        <v>498</v>
      </c>
      <c r="F46" s="354" t="s">
        <v>663</v>
      </c>
      <c r="G46" s="354" t="s">
        <v>1228</v>
      </c>
      <c r="H46" s="354" t="s">
        <v>935</v>
      </c>
    </row>
    <row r="47" spans="1:8" ht="45" x14ac:dyDescent="0.25">
      <c r="A47" s="675"/>
      <c r="B47" s="675"/>
      <c r="C47" s="354" t="s">
        <v>1027</v>
      </c>
      <c r="D47" s="349" t="s">
        <v>1029</v>
      </c>
      <c r="E47" s="354" t="s">
        <v>499</v>
      </c>
      <c r="F47" s="354" t="s">
        <v>1028</v>
      </c>
      <c r="G47" s="354" t="s">
        <v>1229</v>
      </c>
      <c r="H47" s="354" t="s">
        <v>1119</v>
      </c>
    </row>
    <row r="48" spans="1:8" x14ac:dyDescent="0.25">
      <c r="A48" s="676" t="s">
        <v>1253</v>
      </c>
      <c r="B48" s="676"/>
      <c r="C48" s="676"/>
      <c r="D48" s="676"/>
      <c r="E48" s="676"/>
      <c r="F48" s="676"/>
      <c r="G48" s="676"/>
      <c r="H48" s="676"/>
    </row>
    <row r="49" spans="1:8" ht="90" x14ac:dyDescent="0.25">
      <c r="A49" s="675" t="s">
        <v>501</v>
      </c>
      <c r="B49" s="354" t="s">
        <v>502</v>
      </c>
      <c r="C49" s="675" t="s">
        <v>1030</v>
      </c>
      <c r="D49" s="349" t="s">
        <v>881</v>
      </c>
      <c r="E49" s="354" t="s">
        <v>473</v>
      </c>
      <c r="F49" s="354" t="s">
        <v>882</v>
      </c>
      <c r="G49" s="354" t="s">
        <v>1230</v>
      </c>
      <c r="H49" s="354" t="s">
        <v>937</v>
      </c>
    </row>
    <row r="50" spans="1:8" ht="75" x14ac:dyDescent="0.25">
      <c r="A50" s="675"/>
      <c r="B50" s="354" t="s">
        <v>889</v>
      </c>
      <c r="C50" s="675"/>
      <c r="D50" s="350" t="s">
        <v>28</v>
      </c>
      <c r="E50" s="350" t="s">
        <v>965</v>
      </c>
      <c r="F50" s="350" t="s">
        <v>966</v>
      </c>
      <c r="G50" s="350" t="s">
        <v>1236</v>
      </c>
      <c r="H50" s="350" t="s">
        <v>1119</v>
      </c>
    </row>
    <row r="51" spans="1:8" ht="75" x14ac:dyDescent="0.25">
      <c r="A51" s="675"/>
      <c r="B51" s="354" t="s">
        <v>504</v>
      </c>
      <c r="C51" s="354" t="s">
        <v>938</v>
      </c>
      <c r="D51" s="349" t="s">
        <v>884</v>
      </c>
      <c r="E51" s="354" t="s">
        <v>473</v>
      </c>
      <c r="F51" s="354" t="s">
        <v>1032</v>
      </c>
      <c r="G51" s="354" t="s">
        <v>1231</v>
      </c>
      <c r="H51" s="354" t="s">
        <v>940</v>
      </c>
    </row>
  </sheetData>
  <mergeCells count="32">
    <mergeCell ref="A2:H2"/>
    <mergeCell ref="A10:H10"/>
    <mergeCell ref="A14:XFD14"/>
    <mergeCell ref="A18:H18"/>
    <mergeCell ref="A28:H28"/>
    <mergeCell ref="A19:A27"/>
    <mergeCell ref="C20:C26"/>
    <mergeCell ref="F21:F23"/>
    <mergeCell ref="F24:F26"/>
    <mergeCell ref="A3:A9"/>
    <mergeCell ref="B4:B9"/>
    <mergeCell ref="C5:C6"/>
    <mergeCell ref="C8:C9"/>
    <mergeCell ref="B19:B26"/>
    <mergeCell ref="A15:A17"/>
    <mergeCell ref="B15:B16"/>
    <mergeCell ref="A11:A13"/>
    <mergeCell ref="C11:C12"/>
    <mergeCell ref="A49:A51"/>
    <mergeCell ref="C49:C50"/>
    <mergeCell ref="A29:A30"/>
    <mergeCell ref="A32:A36"/>
    <mergeCell ref="B32:B36"/>
    <mergeCell ref="C35:C36"/>
    <mergeCell ref="C32:C34"/>
    <mergeCell ref="A37:H37"/>
    <mergeCell ref="A48:H48"/>
    <mergeCell ref="A31:H31"/>
    <mergeCell ref="A38:A47"/>
    <mergeCell ref="B38:B47"/>
    <mergeCell ref="C38:C44"/>
    <mergeCell ref="C45:C46"/>
  </mergeCells>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61"/>
  <sheetViews>
    <sheetView topLeftCell="A142" zoomScaleNormal="100" workbookViewId="0">
      <selection activeCell="A2" sqref="A2:G2"/>
    </sheetView>
  </sheetViews>
  <sheetFormatPr defaultColWidth="9" defaultRowHeight="15" x14ac:dyDescent="0.25"/>
  <cols>
    <col min="1" max="1" width="18" style="355" customWidth="1"/>
    <col min="2" max="2" width="23.28515625" style="355" customWidth="1"/>
    <col min="3" max="3" width="20.5703125" style="355" customWidth="1"/>
    <col min="4" max="4" width="10.28515625" style="358" customWidth="1"/>
    <col min="5" max="5" width="13.7109375" style="355" customWidth="1"/>
    <col min="6" max="6" width="13.5703125" style="355" customWidth="1"/>
    <col min="7" max="7" width="21.7109375" style="355" customWidth="1"/>
    <col min="8" max="16384" width="9" style="355"/>
  </cols>
  <sheetData>
    <row r="1" spans="1:7" ht="27.75" customHeight="1" x14ac:dyDescent="0.25">
      <c r="A1" s="348" t="s">
        <v>466</v>
      </c>
      <c r="B1" s="348" t="s">
        <v>513</v>
      </c>
      <c r="C1" s="348" t="s">
        <v>467</v>
      </c>
      <c r="D1" s="686" t="s">
        <v>1431</v>
      </c>
      <c r="E1" s="686"/>
      <c r="F1" s="686"/>
      <c r="G1" s="686"/>
    </row>
    <row r="2" spans="1:7" x14ac:dyDescent="0.25">
      <c r="A2" s="676" t="s">
        <v>1248</v>
      </c>
      <c r="B2" s="676"/>
      <c r="C2" s="676"/>
      <c r="D2" s="676"/>
      <c r="E2" s="676"/>
      <c r="F2" s="676"/>
      <c r="G2" s="676"/>
    </row>
    <row r="3" spans="1:7" x14ac:dyDescent="0.25">
      <c r="A3" s="677" t="s">
        <v>469</v>
      </c>
      <c r="B3" s="677" t="s">
        <v>1254</v>
      </c>
      <c r="C3" s="677" t="s">
        <v>913</v>
      </c>
      <c r="D3" s="683" t="s">
        <v>1274</v>
      </c>
      <c r="E3" s="683"/>
      <c r="F3" s="683"/>
      <c r="G3" s="683"/>
    </row>
    <row r="4" spans="1:7" ht="14.25" customHeight="1" x14ac:dyDescent="0.25">
      <c r="A4" s="678"/>
      <c r="B4" s="678"/>
      <c r="C4" s="678"/>
      <c r="D4" s="683" t="s">
        <v>1316</v>
      </c>
      <c r="E4" s="683"/>
      <c r="F4" s="683"/>
      <c r="G4" s="441" t="s">
        <v>978</v>
      </c>
    </row>
    <row r="5" spans="1:7" x14ac:dyDescent="0.25">
      <c r="A5" s="675"/>
      <c r="B5" s="675"/>
      <c r="C5" s="675"/>
      <c r="D5" s="445"/>
      <c r="E5" s="450">
        <v>2030</v>
      </c>
      <c r="F5" s="450">
        <v>2050</v>
      </c>
      <c r="G5" s="450">
        <v>2100</v>
      </c>
    </row>
    <row r="6" spans="1:7" x14ac:dyDescent="0.25">
      <c r="A6" s="675"/>
      <c r="B6" s="675"/>
      <c r="C6" s="675"/>
      <c r="D6" s="445" t="s">
        <v>1269</v>
      </c>
      <c r="E6" s="451">
        <v>138.24</v>
      </c>
      <c r="F6" s="451">
        <v>153.6</v>
      </c>
      <c r="G6" s="451">
        <v>168.96</v>
      </c>
    </row>
    <row r="7" spans="1:7" x14ac:dyDescent="0.25">
      <c r="A7" s="675"/>
      <c r="B7" s="675"/>
      <c r="C7" s="675"/>
      <c r="D7" s="444" t="s">
        <v>1270</v>
      </c>
      <c r="E7" s="452">
        <v>137.79250000000002</v>
      </c>
      <c r="F7" s="452">
        <v>145.4725</v>
      </c>
      <c r="G7" s="452">
        <v>153.1525</v>
      </c>
    </row>
    <row r="8" spans="1:7" x14ac:dyDescent="0.25">
      <c r="A8" s="675"/>
      <c r="B8" s="675"/>
      <c r="C8" s="675"/>
      <c r="D8" s="350" t="s">
        <v>1271</v>
      </c>
      <c r="E8" s="453">
        <v>137.56874999999999</v>
      </c>
      <c r="F8" s="453">
        <v>141.40875</v>
      </c>
      <c r="G8" s="453">
        <v>145.24875</v>
      </c>
    </row>
    <row r="9" spans="1:7" x14ac:dyDescent="0.25">
      <c r="A9" s="675"/>
      <c r="B9" s="675" t="s">
        <v>1255</v>
      </c>
      <c r="C9" s="678" t="s">
        <v>1267</v>
      </c>
      <c r="D9" s="680" t="s">
        <v>1275</v>
      </c>
      <c r="E9" s="681"/>
      <c r="F9" s="681"/>
      <c r="G9" s="681"/>
    </row>
    <row r="10" spans="1:7" ht="14.25" customHeight="1" x14ac:dyDescent="0.25">
      <c r="A10" s="675"/>
      <c r="B10" s="675"/>
      <c r="C10" s="678"/>
      <c r="D10" s="682" t="s">
        <v>1317</v>
      </c>
      <c r="E10" s="683"/>
      <c r="F10" s="683"/>
      <c r="G10" s="441" t="s">
        <v>978</v>
      </c>
    </row>
    <row r="11" spans="1:7" x14ac:dyDescent="0.25">
      <c r="A11" s="675"/>
      <c r="B11" s="675"/>
      <c r="C11" s="678"/>
      <c r="D11" s="445"/>
      <c r="E11" s="450">
        <v>2030</v>
      </c>
      <c r="F11" s="450">
        <v>2050</v>
      </c>
      <c r="G11" s="450">
        <v>2100</v>
      </c>
    </row>
    <row r="12" spans="1:7" x14ac:dyDescent="0.25">
      <c r="A12" s="675"/>
      <c r="B12" s="675"/>
      <c r="C12" s="678"/>
      <c r="D12" s="445" t="s">
        <v>1269</v>
      </c>
      <c r="E12" s="451">
        <v>6728.1759999999995</v>
      </c>
      <c r="F12" s="451">
        <v>9611.68</v>
      </c>
      <c r="G12" s="451">
        <v>12495.184000000001</v>
      </c>
    </row>
    <row r="13" spans="1:7" x14ac:dyDescent="0.25">
      <c r="A13" s="675"/>
      <c r="B13" s="675"/>
      <c r="C13" s="678"/>
      <c r="D13" s="444" t="s">
        <v>1270</v>
      </c>
      <c r="E13" s="452">
        <v>5093.1530000000002</v>
      </c>
      <c r="F13" s="452">
        <v>6534.9050000000007</v>
      </c>
      <c r="G13" s="452">
        <v>7976.6570000000002</v>
      </c>
    </row>
    <row r="14" spans="1:7" x14ac:dyDescent="0.25">
      <c r="A14" s="675"/>
      <c r="B14" s="675"/>
      <c r="C14" s="678"/>
      <c r="D14" s="350" t="s">
        <v>1271</v>
      </c>
      <c r="E14" s="453">
        <v>4275.6414999999997</v>
      </c>
      <c r="F14" s="453">
        <v>4996.5174999999999</v>
      </c>
      <c r="G14" s="453">
        <v>5717.3935000000001</v>
      </c>
    </row>
    <row r="15" spans="1:7" x14ac:dyDescent="0.25">
      <c r="A15" s="675"/>
      <c r="B15" s="675"/>
      <c r="C15" s="678" t="s">
        <v>1266</v>
      </c>
      <c r="D15" s="680" t="s">
        <v>1276</v>
      </c>
      <c r="E15" s="681"/>
      <c r="F15" s="681"/>
      <c r="G15" s="681"/>
    </row>
    <row r="16" spans="1:7" ht="14.25" customHeight="1" x14ac:dyDescent="0.25">
      <c r="A16" s="675"/>
      <c r="B16" s="675"/>
      <c r="C16" s="678"/>
      <c r="D16" s="682" t="s">
        <v>1318</v>
      </c>
      <c r="E16" s="683"/>
      <c r="F16" s="683"/>
      <c r="G16" s="441" t="s">
        <v>989</v>
      </c>
    </row>
    <row r="17" spans="1:7" x14ac:dyDescent="0.25">
      <c r="A17" s="675"/>
      <c r="B17" s="675"/>
      <c r="C17" s="678"/>
      <c r="D17" s="445"/>
      <c r="E17" s="450">
        <v>2030</v>
      </c>
      <c r="F17" s="450">
        <v>2050</v>
      </c>
      <c r="G17" s="450">
        <v>2100</v>
      </c>
    </row>
    <row r="18" spans="1:7" x14ac:dyDescent="0.25">
      <c r="A18" s="675"/>
      <c r="B18" s="675"/>
      <c r="C18" s="678"/>
      <c r="D18" s="445" t="s">
        <v>1269</v>
      </c>
      <c r="E18" s="451">
        <v>9474626.879999999</v>
      </c>
      <c r="F18" s="451">
        <v>11316915.439999999</v>
      </c>
      <c r="G18" s="451">
        <v>12501243.800000001</v>
      </c>
    </row>
    <row r="19" spans="1:7" x14ac:dyDescent="0.25">
      <c r="A19" s="675"/>
      <c r="B19" s="675"/>
      <c r="C19" s="678"/>
      <c r="D19" s="444" t="s">
        <v>1270</v>
      </c>
      <c r="E19" s="452">
        <v>8131448.4399999995</v>
      </c>
      <c r="F19" s="452">
        <v>9052592.7199999988</v>
      </c>
      <c r="G19" s="452">
        <v>9644756.9000000004</v>
      </c>
    </row>
    <row r="20" spans="1:7" x14ac:dyDescent="0.25">
      <c r="A20" s="675"/>
      <c r="B20" s="675"/>
      <c r="C20" s="678"/>
      <c r="D20" s="350" t="s">
        <v>1271</v>
      </c>
      <c r="E20" s="453">
        <v>7459859.2199999997</v>
      </c>
      <c r="F20" s="453">
        <v>7920431.3599999994</v>
      </c>
      <c r="G20" s="453">
        <v>8216513.4500000002</v>
      </c>
    </row>
    <row r="21" spans="1:7" x14ac:dyDescent="0.25">
      <c r="A21" s="675"/>
      <c r="B21" s="675"/>
      <c r="C21" s="678"/>
      <c r="D21" s="684" t="s">
        <v>1277</v>
      </c>
      <c r="E21" s="685"/>
      <c r="F21" s="685"/>
      <c r="G21" s="685"/>
    </row>
    <row r="22" spans="1:7" ht="14.25" customHeight="1" x14ac:dyDescent="0.25">
      <c r="A22" s="675"/>
      <c r="B22" s="675"/>
      <c r="C22" s="678"/>
      <c r="D22" s="682" t="s">
        <v>1319</v>
      </c>
      <c r="E22" s="683"/>
      <c r="F22" s="683"/>
      <c r="G22" s="441" t="s">
        <v>989</v>
      </c>
    </row>
    <row r="23" spans="1:7" x14ac:dyDescent="0.25">
      <c r="A23" s="675"/>
      <c r="B23" s="675"/>
      <c r="C23" s="678"/>
      <c r="D23" s="445"/>
      <c r="E23" s="450">
        <v>2030</v>
      </c>
      <c r="F23" s="450">
        <v>2050</v>
      </c>
      <c r="G23" s="450">
        <v>2100</v>
      </c>
    </row>
    <row r="24" spans="1:7" x14ac:dyDescent="0.25">
      <c r="A24" s="675"/>
      <c r="B24" s="675"/>
      <c r="C24" s="678"/>
      <c r="D24" s="445" t="s">
        <v>1269</v>
      </c>
      <c r="E24" s="451">
        <v>528520.98</v>
      </c>
      <c r="F24" s="451">
        <v>710098.74</v>
      </c>
      <c r="G24" s="451">
        <v>710098.74</v>
      </c>
    </row>
    <row r="25" spans="1:7" x14ac:dyDescent="0.25">
      <c r="A25" s="675"/>
      <c r="B25" s="675"/>
      <c r="C25" s="678"/>
      <c r="D25" s="444" t="s">
        <v>1270</v>
      </c>
      <c r="E25" s="452">
        <v>434299.99</v>
      </c>
      <c r="F25" s="452">
        <v>525088.87</v>
      </c>
      <c r="G25" s="452">
        <v>525088.87</v>
      </c>
    </row>
    <row r="26" spans="1:7" x14ac:dyDescent="0.25">
      <c r="A26" s="675"/>
      <c r="B26" s="675"/>
      <c r="C26" s="678"/>
      <c r="D26" s="350" t="s">
        <v>1271</v>
      </c>
      <c r="E26" s="453">
        <v>387189.495</v>
      </c>
      <c r="F26" s="453">
        <v>432583.935</v>
      </c>
      <c r="G26" s="453">
        <v>432583.935</v>
      </c>
    </row>
    <row r="27" spans="1:7" x14ac:dyDescent="0.25">
      <c r="A27" s="675"/>
      <c r="B27" s="675"/>
      <c r="C27" s="678" t="s">
        <v>1069</v>
      </c>
      <c r="D27" s="680" t="s">
        <v>1278</v>
      </c>
      <c r="E27" s="681"/>
      <c r="F27" s="681"/>
      <c r="G27" s="681"/>
    </row>
    <row r="28" spans="1:7" ht="14.25" customHeight="1" x14ac:dyDescent="0.25">
      <c r="A28" s="675"/>
      <c r="B28" s="675"/>
      <c r="C28" s="678"/>
      <c r="D28" s="682" t="s">
        <v>1320</v>
      </c>
      <c r="E28" s="683"/>
      <c r="F28" s="683"/>
      <c r="G28" s="441" t="s">
        <v>989</v>
      </c>
    </row>
    <row r="29" spans="1:7" x14ac:dyDescent="0.25">
      <c r="A29" s="675"/>
      <c r="B29" s="675"/>
      <c r="C29" s="678"/>
      <c r="D29" s="445"/>
      <c r="E29" s="450">
        <v>2030</v>
      </c>
      <c r="F29" s="450">
        <v>2050</v>
      </c>
      <c r="G29" s="450">
        <v>2100</v>
      </c>
    </row>
    <row r="30" spans="1:7" x14ac:dyDescent="0.25">
      <c r="A30" s="675"/>
      <c r="B30" s="675"/>
      <c r="C30" s="678"/>
      <c r="D30" s="445" t="s">
        <v>1269</v>
      </c>
      <c r="E30" s="454">
        <v>0.33227999999999996</v>
      </c>
      <c r="F30" s="454">
        <v>0.29535999999999996</v>
      </c>
      <c r="G30" s="454">
        <v>0.25844</v>
      </c>
    </row>
    <row r="31" spans="1:7" x14ac:dyDescent="0.25">
      <c r="A31" s="675"/>
      <c r="B31" s="675"/>
      <c r="C31" s="678"/>
      <c r="D31" s="444" t="s">
        <v>1270</v>
      </c>
      <c r="E31" s="455">
        <v>0.35484349999999998</v>
      </c>
      <c r="F31" s="455">
        <v>0.33638349999999995</v>
      </c>
      <c r="G31" s="455">
        <v>0.31792350000000003</v>
      </c>
    </row>
    <row r="32" spans="1:7" x14ac:dyDescent="0.25">
      <c r="A32" s="675"/>
      <c r="B32" s="675"/>
      <c r="C32" s="678"/>
      <c r="D32" s="350" t="s">
        <v>1271</v>
      </c>
      <c r="E32" s="456">
        <v>0.36612524999999996</v>
      </c>
      <c r="F32" s="456">
        <v>0.35689525</v>
      </c>
      <c r="G32" s="456">
        <v>0.34766524999999998</v>
      </c>
    </row>
    <row r="33" spans="1:7" x14ac:dyDescent="0.25">
      <c r="A33" s="675"/>
      <c r="B33" s="675"/>
      <c r="C33" s="678" t="s">
        <v>981</v>
      </c>
      <c r="D33" s="680" t="s">
        <v>1279</v>
      </c>
      <c r="E33" s="681"/>
      <c r="F33" s="681"/>
      <c r="G33" s="681"/>
    </row>
    <row r="34" spans="1:7" ht="14.25" customHeight="1" x14ac:dyDescent="0.25">
      <c r="A34" s="675"/>
      <c r="B34" s="675"/>
      <c r="C34" s="678"/>
      <c r="D34" s="682" t="s">
        <v>1321</v>
      </c>
      <c r="E34" s="683"/>
      <c r="F34" s="683"/>
      <c r="G34" s="441" t="s">
        <v>989</v>
      </c>
    </row>
    <row r="35" spans="1:7" x14ac:dyDescent="0.25">
      <c r="A35" s="675"/>
      <c r="B35" s="675"/>
      <c r="C35" s="678"/>
      <c r="D35" s="445"/>
      <c r="E35" s="450">
        <v>2030</v>
      </c>
      <c r="F35" s="450">
        <v>2050</v>
      </c>
      <c r="G35" s="450">
        <v>2100</v>
      </c>
    </row>
    <row r="36" spans="1:7" x14ac:dyDescent="0.25">
      <c r="A36" s="675"/>
      <c r="B36" s="675"/>
      <c r="C36" s="678"/>
      <c r="D36" s="445" t="s">
        <v>1269</v>
      </c>
      <c r="E36" s="451">
        <v>3077.2601999999997</v>
      </c>
      <c r="F36" s="451">
        <v>2735.3424</v>
      </c>
      <c r="G36" s="451">
        <v>2393.4246000000003</v>
      </c>
    </row>
    <row r="37" spans="1:7" x14ac:dyDescent="0.25">
      <c r="A37" s="675"/>
      <c r="B37" s="675"/>
      <c r="C37" s="678"/>
      <c r="D37" s="444" t="s">
        <v>1270</v>
      </c>
      <c r="E37" s="452">
        <v>3216.3651</v>
      </c>
      <c r="F37" s="452">
        <v>3045.4061999999999</v>
      </c>
      <c r="G37" s="452">
        <v>2874.4472999999998</v>
      </c>
    </row>
    <row r="38" spans="1:7" x14ac:dyDescent="0.25">
      <c r="A38" s="675"/>
      <c r="B38" s="675"/>
      <c r="C38" s="678"/>
      <c r="D38" s="350" t="s">
        <v>1271</v>
      </c>
      <c r="E38" s="453">
        <v>3285.9175499999997</v>
      </c>
      <c r="F38" s="453">
        <v>3200.4380999999998</v>
      </c>
      <c r="G38" s="453">
        <v>3114.95865</v>
      </c>
    </row>
    <row r="39" spans="1:7" x14ac:dyDescent="0.25">
      <c r="A39" s="675"/>
      <c r="B39" s="675"/>
      <c r="C39" s="678"/>
      <c r="D39" s="680" t="s">
        <v>1280</v>
      </c>
      <c r="E39" s="681"/>
      <c r="F39" s="681"/>
      <c r="G39" s="681"/>
    </row>
    <row r="40" spans="1:7" ht="14.25" customHeight="1" x14ac:dyDescent="0.25">
      <c r="A40" s="675"/>
      <c r="B40" s="675"/>
      <c r="C40" s="678"/>
      <c r="D40" s="682" t="s">
        <v>1322</v>
      </c>
      <c r="E40" s="683"/>
      <c r="F40" s="683"/>
      <c r="G40" s="441" t="s">
        <v>989</v>
      </c>
    </row>
    <row r="41" spans="1:7" x14ac:dyDescent="0.25">
      <c r="A41" s="675"/>
      <c r="B41" s="675"/>
      <c r="C41" s="678"/>
      <c r="D41" s="445"/>
      <c r="E41" s="450">
        <v>2030</v>
      </c>
      <c r="F41" s="450">
        <v>2050</v>
      </c>
      <c r="G41" s="450">
        <v>2100</v>
      </c>
    </row>
    <row r="42" spans="1:7" x14ac:dyDescent="0.25">
      <c r="A42" s="675"/>
      <c r="B42" s="675"/>
      <c r="C42" s="678"/>
      <c r="D42" s="445" t="s">
        <v>1269</v>
      </c>
      <c r="E42" s="451">
        <v>1456.5464999999999</v>
      </c>
      <c r="F42" s="451">
        <v>1294.7080000000001</v>
      </c>
      <c r="G42" s="451">
        <v>1132.8695</v>
      </c>
    </row>
    <row r="43" spans="1:7" x14ac:dyDescent="0.25">
      <c r="A43" s="675"/>
      <c r="B43" s="675"/>
      <c r="C43" s="678"/>
      <c r="D43" s="444" t="s">
        <v>1270</v>
      </c>
      <c r="E43" s="452">
        <v>1485.5682499999998</v>
      </c>
      <c r="F43" s="452">
        <v>1404.6489999999999</v>
      </c>
      <c r="G43" s="452">
        <v>1323.72975</v>
      </c>
    </row>
    <row r="44" spans="1:7" x14ac:dyDescent="0.25">
      <c r="A44" s="679"/>
      <c r="B44" s="679"/>
      <c r="C44" s="679"/>
      <c r="D44" s="350" t="s">
        <v>1271</v>
      </c>
      <c r="E44" s="453">
        <v>1500.079125</v>
      </c>
      <c r="F44" s="453">
        <v>1459.6195</v>
      </c>
      <c r="G44" s="453">
        <v>1419.1598749999998</v>
      </c>
    </row>
    <row r="45" spans="1:7" x14ac:dyDescent="0.25">
      <c r="A45" s="676" t="s">
        <v>1358</v>
      </c>
      <c r="B45" s="676"/>
      <c r="C45" s="676"/>
      <c r="D45" s="676"/>
      <c r="E45" s="676"/>
      <c r="F45" s="676"/>
      <c r="G45" s="676"/>
    </row>
    <row r="46" spans="1:7" x14ac:dyDescent="0.25">
      <c r="A46" s="677" t="s">
        <v>511</v>
      </c>
      <c r="B46" s="678" t="s">
        <v>1258</v>
      </c>
      <c r="C46" s="678" t="s">
        <v>1003</v>
      </c>
      <c r="D46" s="680" t="s">
        <v>1281</v>
      </c>
      <c r="E46" s="681"/>
      <c r="F46" s="681"/>
      <c r="G46" s="681"/>
    </row>
    <row r="47" spans="1:7" ht="14.25" customHeight="1" x14ac:dyDescent="0.25">
      <c r="A47" s="678"/>
      <c r="B47" s="678"/>
      <c r="C47" s="678"/>
      <c r="D47" s="682" t="s">
        <v>1323</v>
      </c>
      <c r="E47" s="683"/>
      <c r="F47" s="683"/>
      <c r="G47" s="441" t="s">
        <v>978</v>
      </c>
    </row>
    <row r="48" spans="1:7" x14ac:dyDescent="0.25">
      <c r="A48" s="675"/>
      <c r="B48" s="675"/>
      <c r="C48" s="678"/>
      <c r="D48" s="445"/>
      <c r="E48" s="450">
        <v>2030</v>
      </c>
      <c r="F48" s="450">
        <v>2050</v>
      </c>
      <c r="G48" s="450">
        <v>2100</v>
      </c>
    </row>
    <row r="49" spans="1:94" x14ac:dyDescent="0.25">
      <c r="A49" s="675"/>
      <c r="B49" s="675"/>
      <c r="C49" s="678"/>
      <c r="D49" s="445" t="s">
        <v>1269</v>
      </c>
      <c r="E49" s="454">
        <v>75.451829266800004</v>
      </c>
      <c r="F49" s="454">
        <v>83.835365851999995</v>
      </c>
      <c r="G49" s="454">
        <v>92.218902437200001</v>
      </c>
    </row>
    <row r="50" spans="1:94" x14ac:dyDescent="0.25">
      <c r="A50" s="675"/>
      <c r="B50" s="675"/>
      <c r="C50" s="678"/>
      <c r="D50" s="444" t="s">
        <v>1270</v>
      </c>
      <c r="E50" s="455">
        <v>71.912314633400001</v>
      </c>
      <c r="F50" s="455">
        <v>76.10408292599999</v>
      </c>
      <c r="G50" s="455">
        <v>80.295851218600006</v>
      </c>
    </row>
    <row r="51" spans="1:94" x14ac:dyDescent="0.25">
      <c r="A51" s="675"/>
      <c r="B51" s="675"/>
      <c r="C51" s="678"/>
      <c r="D51" s="350" t="s">
        <v>1271</v>
      </c>
      <c r="E51" s="456">
        <v>70.142557316699992</v>
      </c>
      <c r="F51" s="456">
        <v>72.238441463000001</v>
      </c>
      <c r="G51" s="456">
        <v>74.334325609299995</v>
      </c>
    </row>
    <row r="52" spans="1:94" x14ac:dyDescent="0.25">
      <c r="A52" s="675"/>
      <c r="B52" s="678" t="s">
        <v>1257</v>
      </c>
      <c r="C52" s="678"/>
      <c r="D52" s="680" t="s">
        <v>1282</v>
      </c>
      <c r="E52" s="681" t="s">
        <v>191</v>
      </c>
      <c r="F52" s="681"/>
      <c r="G52" s="681"/>
    </row>
    <row r="53" spans="1:94" ht="14.25" customHeight="1" x14ac:dyDescent="0.25">
      <c r="A53" s="675"/>
      <c r="B53" s="678"/>
      <c r="C53" s="678"/>
      <c r="D53" s="682" t="s">
        <v>1324</v>
      </c>
      <c r="E53" s="683"/>
      <c r="F53" s="683"/>
      <c r="G53" s="441" t="s">
        <v>978</v>
      </c>
    </row>
    <row r="54" spans="1:94" x14ac:dyDescent="0.25">
      <c r="A54" s="675"/>
      <c r="B54" s="678"/>
      <c r="C54" s="678"/>
      <c r="D54" s="445"/>
      <c r="E54" s="450">
        <v>2030</v>
      </c>
      <c r="F54" s="450">
        <v>2050</v>
      </c>
      <c r="G54" s="450">
        <v>2100</v>
      </c>
    </row>
    <row r="55" spans="1:94" x14ac:dyDescent="0.25">
      <c r="A55" s="675"/>
      <c r="B55" s="678"/>
      <c r="C55" s="678"/>
      <c r="D55" s="445" t="s">
        <v>1269</v>
      </c>
      <c r="E55" s="454">
        <v>0.84960000000000002</v>
      </c>
      <c r="F55" s="454">
        <v>0.94399999999999995</v>
      </c>
      <c r="G55" s="454">
        <v>1</v>
      </c>
    </row>
    <row r="56" spans="1:94" x14ac:dyDescent="0.25">
      <c r="A56" s="675"/>
      <c r="B56" s="678"/>
      <c r="C56" s="678"/>
      <c r="D56" s="444" t="s">
        <v>1270</v>
      </c>
      <c r="E56" s="455">
        <v>0.76527000000000001</v>
      </c>
      <c r="F56" s="455">
        <v>0.81247000000000003</v>
      </c>
      <c r="G56" s="455">
        <v>0.84047000000000005</v>
      </c>
    </row>
    <row r="57" spans="1:94" x14ac:dyDescent="0.25">
      <c r="A57" s="675"/>
      <c r="B57" s="678"/>
      <c r="C57" s="678"/>
      <c r="D57" s="350" t="s">
        <v>1271</v>
      </c>
      <c r="E57" s="456">
        <v>0.723105</v>
      </c>
      <c r="F57" s="456">
        <v>0.74670499999999995</v>
      </c>
      <c r="G57" s="456">
        <v>0.76070499999999996</v>
      </c>
    </row>
    <row r="58" spans="1:94" x14ac:dyDescent="0.25">
      <c r="A58" s="675"/>
      <c r="B58" s="678" t="s">
        <v>1256</v>
      </c>
      <c r="C58" s="678" t="s">
        <v>555</v>
      </c>
      <c r="D58" s="680" t="s">
        <v>1283</v>
      </c>
      <c r="E58" s="681"/>
      <c r="F58" s="681"/>
      <c r="G58" s="681"/>
      <c r="H58" s="373"/>
      <c r="I58" s="373"/>
      <c r="J58" s="373"/>
      <c r="K58" s="373"/>
      <c r="L58" s="373"/>
      <c r="M58" s="373"/>
      <c r="N58" s="373"/>
      <c r="O58" s="373"/>
      <c r="P58" s="373"/>
      <c r="Q58" s="373"/>
      <c r="R58" s="373"/>
      <c r="S58" s="373"/>
      <c r="T58" s="373"/>
      <c r="U58" s="373"/>
      <c r="V58" s="373"/>
      <c r="W58" s="373"/>
      <c r="X58" s="373"/>
      <c r="Y58" s="373"/>
      <c r="Z58" s="373"/>
      <c r="AA58" s="373"/>
      <c r="AB58" s="373"/>
      <c r="AC58" s="373"/>
      <c r="AD58" s="373"/>
      <c r="AE58" s="373"/>
      <c r="AF58" s="373"/>
      <c r="AG58" s="373"/>
      <c r="AH58" s="373"/>
      <c r="AI58" s="373"/>
      <c r="AJ58" s="373"/>
      <c r="AK58" s="373"/>
      <c r="AL58" s="373"/>
      <c r="AM58" s="373"/>
      <c r="AN58" s="373"/>
      <c r="AO58" s="373"/>
      <c r="AP58" s="373"/>
      <c r="AQ58" s="373"/>
      <c r="AR58" s="373"/>
      <c r="AS58" s="373"/>
      <c r="AT58" s="373"/>
      <c r="AU58" s="373"/>
      <c r="AV58" s="373"/>
      <c r="AW58" s="373"/>
      <c r="AX58" s="373"/>
      <c r="AY58" s="373"/>
      <c r="AZ58" s="373"/>
      <c r="BA58" s="373"/>
      <c r="BB58" s="373"/>
      <c r="BC58" s="373"/>
      <c r="BD58" s="373"/>
      <c r="BE58" s="373"/>
      <c r="BF58" s="373"/>
      <c r="BG58" s="373"/>
      <c r="BH58" s="373"/>
      <c r="BI58" s="373"/>
      <c r="BJ58" s="373"/>
      <c r="BK58" s="373"/>
      <c r="BL58" s="373"/>
      <c r="BM58" s="373"/>
      <c r="BN58" s="373"/>
      <c r="BO58" s="373"/>
      <c r="BP58" s="373"/>
      <c r="BQ58" s="373"/>
      <c r="BR58" s="373"/>
      <c r="BS58" s="373"/>
      <c r="BT58" s="373"/>
      <c r="BU58" s="373"/>
      <c r="BV58" s="373"/>
      <c r="BW58" s="373"/>
      <c r="BX58" s="373"/>
      <c r="BY58" s="373"/>
      <c r="BZ58" s="373"/>
      <c r="CA58" s="373"/>
      <c r="CB58" s="373"/>
      <c r="CC58" s="373"/>
      <c r="CD58" s="373"/>
      <c r="CE58" s="373"/>
      <c r="CF58" s="373"/>
      <c r="CG58" s="373"/>
      <c r="CH58" s="373"/>
      <c r="CI58" s="373"/>
      <c r="CJ58" s="373"/>
      <c r="CK58" s="373"/>
      <c r="CL58" s="373"/>
      <c r="CM58" s="373"/>
      <c r="CN58" s="373"/>
      <c r="CO58" s="373"/>
      <c r="CP58" s="373"/>
    </row>
    <row r="59" spans="1:94" ht="14.25" customHeight="1" x14ac:dyDescent="0.25">
      <c r="A59" s="675"/>
      <c r="B59" s="678"/>
      <c r="C59" s="678"/>
      <c r="D59" s="682" t="s">
        <v>1325</v>
      </c>
      <c r="E59" s="683"/>
      <c r="F59" s="683"/>
      <c r="G59" s="441" t="s">
        <v>978</v>
      </c>
    </row>
    <row r="60" spans="1:94" x14ac:dyDescent="0.25">
      <c r="A60" s="675"/>
      <c r="B60" s="675"/>
      <c r="C60" s="678"/>
      <c r="D60" s="445"/>
      <c r="E60" s="450">
        <v>2030</v>
      </c>
      <c r="F60" s="450">
        <v>2050</v>
      </c>
      <c r="G60" s="450">
        <v>2100</v>
      </c>
    </row>
    <row r="61" spans="1:94" x14ac:dyDescent="0.25">
      <c r="A61" s="675"/>
      <c r="B61" s="675"/>
      <c r="C61" s="678"/>
      <c r="D61" s="445" t="s">
        <v>1269</v>
      </c>
      <c r="E61" s="454">
        <v>27.552399999999999</v>
      </c>
      <c r="F61" s="454">
        <v>13.776199999999999</v>
      </c>
      <c r="G61" s="454">
        <v>0</v>
      </c>
    </row>
    <row r="62" spans="1:94" x14ac:dyDescent="0.25">
      <c r="A62" s="675"/>
      <c r="B62" s="675"/>
      <c r="C62" s="678"/>
      <c r="D62" s="444" t="s">
        <v>1270</v>
      </c>
      <c r="E62" s="455">
        <v>35.387599999999999</v>
      </c>
      <c r="F62" s="455">
        <v>28.499499999999998</v>
      </c>
      <c r="G62" s="455">
        <v>21.6114</v>
      </c>
    </row>
    <row r="63" spans="1:94" x14ac:dyDescent="0.25">
      <c r="A63" s="679"/>
      <c r="B63" s="675"/>
      <c r="C63" s="679"/>
      <c r="D63" s="350" t="s">
        <v>1271</v>
      </c>
      <c r="E63" s="456">
        <v>39.305199999999999</v>
      </c>
      <c r="F63" s="456">
        <v>35.861150000000002</v>
      </c>
      <c r="G63" s="456">
        <v>32.417099999999998</v>
      </c>
    </row>
    <row r="64" spans="1:94" s="442" customFormat="1" ht="14.25" x14ac:dyDescent="0.25">
      <c r="A64" s="676" t="s">
        <v>1249</v>
      </c>
      <c r="B64" s="676"/>
      <c r="C64" s="676"/>
      <c r="D64" s="676"/>
      <c r="E64" s="676"/>
      <c r="F64" s="676"/>
      <c r="G64" s="676"/>
      <c r="H64" s="443"/>
      <c r="I64" s="443"/>
      <c r="J64" s="443"/>
      <c r="K64" s="443"/>
      <c r="L64" s="443"/>
      <c r="M64" s="443"/>
      <c r="N64" s="443"/>
      <c r="O64" s="443"/>
      <c r="P64" s="443"/>
      <c r="Q64" s="443"/>
      <c r="R64" s="443"/>
      <c r="S64" s="443"/>
      <c r="T64" s="443"/>
      <c r="U64" s="443"/>
      <c r="V64" s="443"/>
      <c r="W64" s="443"/>
      <c r="X64" s="443"/>
      <c r="Y64" s="443"/>
      <c r="Z64" s="443"/>
      <c r="AA64" s="443"/>
      <c r="AB64" s="443"/>
      <c r="AC64" s="443"/>
      <c r="AD64" s="443"/>
      <c r="AE64" s="443"/>
      <c r="AF64" s="443"/>
      <c r="AG64" s="443"/>
      <c r="AH64" s="443"/>
      <c r="AI64" s="443"/>
      <c r="AJ64" s="443"/>
      <c r="AK64" s="443"/>
      <c r="AL64" s="443"/>
      <c r="AM64" s="443"/>
      <c r="AN64" s="443"/>
      <c r="AO64" s="443"/>
      <c r="AP64" s="443"/>
      <c r="AQ64" s="443"/>
      <c r="AR64" s="443"/>
      <c r="AS64" s="443"/>
      <c r="AT64" s="443"/>
      <c r="AU64" s="443"/>
      <c r="AV64" s="443"/>
      <c r="AW64" s="443"/>
      <c r="AX64" s="443"/>
      <c r="AY64" s="443"/>
      <c r="AZ64" s="443"/>
      <c r="BA64" s="443"/>
      <c r="BB64" s="443"/>
      <c r="BC64" s="443"/>
      <c r="BD64" s="443"/>
      <c r="BE64" s="443"/>
      <c r="BF64" s="443"/>
      <c r="BG64" s="443"/>
      <c r="BH64" s="443"/>
      <c r="BI64" s="443"/>
      <c r="BJ64" s="443"/>
      <c r="BK64" s="443"/>
      <c r="BL64" s="443"/>
      <c r="BM64" s="443"/>
      <c r="BN64" s="443"/>
      <c r="BO64" s="443"/>
      <c r="BP64" s="443"/>
      <c r="BQ64" s="443"/>
      <c r="BR64" s="443"/>
      <c r="BS64" s="443"/>
      <c r="BT64" s="443"/>
      <c r="BU64" s="443"/>
      <c r="BV64" s="443"/>
      <c r="BW64" s="443"/>
      <c r="BX64" s="443"/>
      <c r="BY64" s="443"/>
      <c r="BZ64" s="443"/>
      <c r="CA64" s="443"/>
      <c r="CB64" s="443"/>
      <c r="CC64" s="443"/>
      <c r="CD64" s="443"/>
      <c r="CE64" s="443"/>
      <c r="CF64" s="443"/>
      <c r="CG64" s="443"/>
      <c r="CH64" s="443"/>
      <c r="CI64" s="443"/>
      <c r="CJ64" s="443"/>
      <c r="CK64" s="443"/>
      <c r="CL64" s="443"/>
      <c r="CM64" s="443"/>
      <c r="CN64" s="443"/>
      <c r="CO64" s="443"/>
      <c r="CP64" s="443"/>
    </row>
    <row r="65" spans="1:94" x14ac:dyDescent="0.25">
      <c r="A65" s="677" t="s">
        <v>512</v>
      </c>
      <c r="B65" s="677" t="s">
        <v>1259</v>
      </c>
      <c r="C65" s="677" t="s">
        <v>919</v>
      </c>
      <c r="D65" s="680" t="s">
        <v>1284</v>
      </c>
      <c r="E65" s="681"/>
      <c r="F65" s="681"/>
      <c r="G65" s="681"/>
      <c r="H65" s="373"/>
      <c r="I65" s="373"/>
      <c r="J65" s="373"/>
      <c r="K65" s="373"/>
      <c r="L65" s="373"/>
      <c r="M65" s="373"/>
      <c r="N65" s="373"/>
      <c r="O65" s="373"/>
      <c r="P65" s="373"/>
      <c r="Q65" s="373"/>
      <c r="R65" s="373"/>
      <c r="S65" s="373"/>
      <c r="T65" s="373"/>
      <c r="U65" s="373"/>
      <c r="V65" s="373"/>
      <c r="W65" s="373"/>
      <c r="X65" s="373"/>
      <c r="Y65" s="373"/>
      <c r="Z65" s="373"/>
      <c r="AA65" s="373"/>
      <c r="AB65" s="373"/>
      <c r="AC65" s="373"/>
      <c r="AD65" s="373"/>
      <c r="AE65" s="373"/>
      <c r="AF65" s="373"/>
      <c r="AG65" s="373"/>
      <c r="AH65" s="373"/>
      <c r="AI65" s="373"/>
      <c r="AJ65" s="373"/>
      <c r="AK65" s="373"/>
      <c r="AL65" s="373"/>
      <c r="AM65" s="373"/>
      <c r="AN65" s="373"/>
      <c r="AO65" s="373"/>
      <c r="AP65" s="373"/>
      <c r="AQ65" s="373"/>
      <c r="AR65" s="373"/>
      <c r="AS65" s="373"/>
      <c r="AT65" s="373"/>
      <c r="AU65" s="373"/>
      <c r="AV65" s="373"/>
      <c r="AW65" s="373"/>
      <c r="AX65" s="373"/>
      <c r="AY65" s="373"/>
      <c r="AZ65" s="373"/>
      <c r="BA65" s="373"/>
      <c r="BB65" s="373"/>
      <c r="BC65" s="373"/>
      <c r="BD65" s="373"/>
      <c r="BE65" s="373"/>
      <c r="BF65" s="373"/>
      <c r="BG65" s="373"/>
      <c r="BH65" s="373"/>
      <c r="BI65" s="373"/>
      <c r="BJ65" s="373"/>
      <c r="BK65" s="373"/>
      <c r="BL65" s="373"/>
      <c r="BM65" s="373"/>
      <c r="BN65" s="373"/>
      <c r="BO65" s="373"/>
      <c r="BP65" s="373"/>
      <c r="BQ65" s="373"/>
      <c r="BR65" s="373"/>
      <c r="BS65" s="373"/>
      <c r="BT65" s="373"/>
      <c r="BU65" s="373"/>
      <c r="BV65" s="373"/>
      <c r="BW65" s="373"/>
      <c r="BX65" s="373"/>
      <c r="BY65" s="373"/>
      <c r="BZ65" s="373"/>
      <c r="CA65" s="373"/>
      <c r="CB65" s="373"/>
      <c r="CC65" s="373"/>
      <c r="CD65" s="373"/>
      <c r="CE65" s="373"/>
      <c r="CF65" s="373"/>
      <c r="CG65" s="373"/>
      <c r="CH65" s="373"/>
      <c r="CI65" s="373"/>
      <c r="CJ65" s="373"/>
      <c r="CK65" s="373"/>
      <c r="CL65" s="373"/>
      <c r="CM65" s="373"/>
      <c r="CN65" s="373"/>
      <c r="CO65" s="373"/>
      <c r="CP65" s="373"/>
    </row>
    <row r="66" spans="1:94" ht="14.25" customHeight="1" x14ac:dyDescent="0.25">
      <c r="A66" s="678"/>
      <c r="B66" s="678"/>
      <c r="C66" s="678"/>
      <c r="D66" s="682" t="s">
        <v>1326</v>
      </c>
      <c r="E66" s="683"/>
      <c r="F66" s="683"/>
      <c r="G66" s="441" t="s">
        <v>982</v>
      </c>
    </row>
    <row r="67" spans="1:94" x14ac:dyDescent="0.25">
      <c r="A67" s="675"/>
      <c r="B67" s="678"/>
      <c r="C67" s="678"/>
      <c r="D67" s="445"/>
      <c r="E67" s="450">
        <v>2030</v>
      </c>
      <c r="F67" s="450">
        <v>2050</v>
      </c>
      <c r="G67" s="450">
        <v>2100</v>
      </c>
    </row>
    <row r="68" spans="1:94" x14ac:dyDescent="0.25">
      <c r="A68" s="675"/>
      <c r="B68" s="678"/>
      <c r="C68" s="678"/>
      <c r="D68" s="445" t="s">
        <v>1269</v>
      </c>
      <c r="E68" s="454">
        <v>8.6822599999999994</v>
      </c>
      <c r="F68" s="454">
        <v>3.4729039999999998</v>
      </c>
      <c r="G68" s="454">
        <v>0</v>
      </c>
    </row>
    <row r="69" spans="1:94" x14ac:dyDescent="0.25">
      <c r="A69" s="675"/>
      <c r="B69" s="678"/>
      <c r="C69" s="678"/>
      <c r="D69" s="444" t="s">
        <v>1270</v>
      </c>
      <c r="E69" s="455">
        <v>11.887779999999999</v>
      </c>
      <c r="F69" s="455">
        <v>9.2831019999999995</v>
      </c>
      <c r="G69" s="455">
        <v>7.5466499999999996</v>
      </c>
    </row>
    <row r="70" spans="1:94" x14ac:dyDescent="0.25">
      <c r="A70" s="675"/>
      <c r="B70" s="678"/>
      <c r="C70" s="678"/>
      <c r="D70" s="350" t="s">
        <v>1271</v>
      </c>
      <c r="E70" s="456">
        <v>13.490539999999999</v>
      </c>
      <c r="F70" s="456">
        <v>12.188200999999999</v>
      </c>
      <c r="G70" s="456">
        <v>11.319974999999999</v>
      </c>
    </row>
    <row r="71" spans="1:94" x14ac:dyDescent="0.25">
      <c r="A71" s="675"/>
      <c r="B71" s="678"/>
      <c r="C71" s="678" t="s">
        <v>567</v>
      </c>
      <c r="D71" s="680" t="s">
        <v>1285</v>
      </c>
      <c r="E71" s="681"/>
      <c r="F71" s="681"/>
      <c r="G71" s="681"/>
      <c r="H71" s="373"/>
      <c r="I71" s="373"/>
      <c r="J71" s="373"/>
      <c r="K71" s="373"/>
      <c r="L71" s="373"/>
      <c r="M71" s="373"/>
      <c r="N71" s="373"/>
      <c r="O71" s="373"/>
      <c r="P71" s="373"/>
      <c r="Q71" s="373"/>
      <c r="R71" s="373"/>
      <c r="S71" s="373"/>
      <c r="T71" s="373"/>
      <c r="U71" s="373"/>
      <c r="V71" s="373"/>
      <c r="W71" s="373"/>
      <c r="X71" s="373"/>
      <c r="Y71" s="373"/>
      <c r="Z71" s="373"/>
      <c r="AA71" s="373"/>
      <c r="AB71" s="373"/>
      <c r="AC71" s="373"/>
      <c r="AD71" s="373"/>
      <c r="AE71" s="373"/>
      <c r="AF71" s="373"/>
      <c r="AG71" s="373"/>
      <c r="AH71" s="373"/>
      <c r="AI71" s="373"/>
      <c r="AJ71" s="373"/>
      <c r="AK71" s="373"/>
      <c r="AL71" s="373"/>
      <c r="AM71" s="373"/>
      <c r="AN71" s="373"/>
      <c r="AO71" s="373"/>
      <c r="AP71" s="373"/>
      <c r="AQ71" s="373"/>
      <c r="AR71" s="373"/>
      <c r="AS71" s="373"/>
      <c r="AT71" s="373"/>
      <c r="AU71" s="373"/>
      <c r="AV71" s="373"/>
      <c r="AW71" s="373"/>
      <c r="AX71" s="373"/>
      <c r="AY71" s="373"/>
      <c r="AZ71" s="373"/>
      <c r="BA71" s="373"/>
      <c r="BB71" s="373"/>
      <c r="BC71" s="373"/>
      <c r="BD71" s="373"/>
      <c r="BE71" s="373"/>
      <c r="BF71" s="373"/>
      <c r="BG71" s="373"/>
      <c r="BH71" s="373"/>
      <c r="BI71" s="373"/>
      <c r="BJ71" s="373"/>
      <c r="BK71" s="373"/>
      <c r="BL71" s="373"/>
      <c r="BM71" s="373"/>
      <c r="BN71" s="373"/>
      <c r="BO71" s="373"/>
      <c r="BP71" s="373"/>
      <c r="BQ71" s="373"/>
      <c r="BR71" s="373"/>
      <c r="BS71" s="373"/>
      <c r="BT71" s="373"/>
      <c r="BU71" s="373"/>
      <c r="BV71" s="373"/>
      <c r="BW71" s="373"/>
      <c r="BX71" s="373"/>
      <c r="BY71" s="373"/>
      <c r="BZ71" s="373"/>
      <c r="CA71" s="373"/>
      <c r="CB71" s="373"/>
      <c r="CC71" s="373"/>
      <c r="CD71" s="373"/>
      <c r="CE71" s="373"/>
      <c r="CF71" s="373"/>
      <c r="CG71" s="373"/>
      <c r="CH71" s="373"/>
      <c r="CI71" s="373"/>
      <c r="CJ71" s="373"/>
      <c r="CK71" s="373"/>
      <c r="CL71" s="373"/>
      <c r="CM71" s="373"/>
      <c r="CN71" s="373"/>
      <c r="CO71" s="373"/>
      <c r="CP71" s="373"/>
    </row>
    <row r="72" spans="1:94" ht="14.25" customHeight="1" x14ac:dyDescent="0.25">
      <c r="A72" s="675"/>
      <c r="B72" s="678"/>
      <c r="C72" s="678"/>
      <c r="D72" s="682" t="s">
        <v>1327</v>
      </c>
      <c r="E72" s="683"/>
      <c r="F72" s="683"/>
      <c r="G72" s="441" t="s">
        <v>978</v>
      </c>
    </row>
    <row r="73" spans="1:94" x14ac:dyDescent="0.25">
      <c r="A73" s="675"/>
      <c r="B73" s="678"/>
      <c r="C73" s="678"/>
      <c r="D73" s="445"/>
      <c r="E73" s="450">
        <v>2030</v>
      </c>
      <c r="F73" s="450">
        <v>2050</v>
      </c>
      <c r="G73" s="450">
        <v>2100</v>
      </c>
    </row>
    <row r="74" spans="1:94" x14ac:dyDescent="0.25">
      <c r="A74" s="675"/>
      <c r="B74" s="678"/>
      <c r="C74" s="678"/>
      <c r="D74" s="445" t="s">
        <v>1269</v>
      </c>
      <c r="E74" s="454">
        <v>10.752000000000002</v>
      </c>
      <c r="F74" s="454">
        <v>13.440000000000001</v>
      </c>
      <c r="G74" s="454">
        <v>15</v>
      </c>
    </row>
    <row r="75" spans="1:94" x14ac:dyDescent="0.25">
      <c r="A75" s="675"/>
      <c r="B75" s="678"/>
      <c r="C75" s="678"/>
      <c r="D75" s="444" t="s">
        <v>1270</v>
      </c>
      <c r="E75" s="455">
        <v>9.1838200000000008</v>
      </c>
      <c r="F75" s="455">
        <v>10.52782</v>
      </c>
      <c r="G75" s="455">
        <v>11.30782</v>
      </c>
    </row>
    <row r="76" spans="1:94" x14ac:dyDescent="0.25">
      <c r="A76" s="675"/>
      <c r="B76" s="679"/>
      <c r="C76" s="679"/>
      <c r="D76" s="350" t="s">
        <v>1271</v>
      </c>
      <c r="E76" s="456">
        <v>8.3997299999999999</v>
      </c>
      <c r="F76" s="456">
        <v>9.0717300000000005</v>
      </c>
      <c r="G76" s="456">
        <v>9.4617299999999993</v>
      </c>
    </row>
    <row r="77" spans="1:94" x14ac:dyDescent="0.25">
      <c r="A77" s="675"/>
      <c r="B77" s="677" t="s">
        <v>1260</v>
      </c>
      <c r="C77" s="677" t="s">
        <v>568</v>
      </c>
      <c r="D77" s="680" t="s">
        <v>1286</v>
      </c>
      <c r="E77" s="681"/>
      <c r="F77" s="681"/>
      <c r="G77" s="681"/>
      <c r="H77" s="373"/>
      <c r="I77" s="373"/>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c r="AT77" s="373"/>
      <c r="AU77" s="373"/>
      <c r="AV77" s="373"/>
      <c r="AW77" s="373"/>
      <c r="AX77" s="373"/>
      <c r="AY77" s="373"/>
      <c r="AZ77" s="373"/>
      <c r="BA77" s="373"/>
      <c r="BB77" s="373"/>
      <c r="BC77" s="373"/>
      <c r="BD77" s="373"/>
      <c r="BE77" s="373"/>
      <c r="BF77" s="373"/>
      <c r="BG77" s="373"/>
      <c r="BH77" s="373"/>
      <c r="BI77" s="373"/>
      <c r="BJ77" s="373"/>
      <c r="BK77" s="373"/>
      <c r="BL77" s="373"/>
      <c r="BM77" s="373"/>
      <c r="BN77" s="373"/>
      <c r="BO77" s="373"/>
      <c r="BP77" s="373"/>
      <c r="BQ77" s="373"/>
      <c r="BR77" s="373"/>
      <c r="BS77" s="373"/>
      <c r="BT77" s="373"/>
      <c r="BU77" s="373"/>
      <c r="BV77" s="373"/>
      <c r="BW77" s="373"/>
      <c r="BX77" s="373"/>
      <c r="BY77" s="373"/>
      <c r="BZ77" s="373"/>
      <c r="CA77" s="373"/>
      <c r="CB77" s="373"/>
      <c r="CC77" s="373"/>
      <c r="CD77" s="373"/>
      <c r="CE77" s="373"/>
      <c r="CF77" s="373"/>
      <c r="CG77" s="373"/>
      <c r="CH77" s="373"/>
      <c r="CI77" s="373"/>
      <c r="CJ77" s="373"/>
      <c r="CK77" s="373"/>
      <c r="CL77" s="373"/>
      <c r="CM77" s="373"/>
      <c r="CN77" s="373"/>
      <c r="CO77" s="373"/>
      <c r="CP77" s="373"/>
    </row>
    <row r="78" spans="1:94" ht="14.25" customHeight="1" x14ac:dyDescent="0.25">
      <c r="A78" s="675"/>
      <c r="B78" s="678"/>
      <c r="C78" s="678"/>
      <c r="D78" s="682" t="s">
        <v>1355</v>
      </c>
      <c r="E78" s="683"/>
      <c r="F78" s="683"/>
      <c r="G78" s="441" t="s">
        <v>978</v>
      </c>
    </row>
    <row r="79" spans="1:94" x14ac:dyDescent="0.25">
      <c r="A79" s="675"/>
      <c r="B79" s="675"/>
      <c r="C79" s="675"/>
      <c r="D79" s="445"/>
      <c r="E79" s="450">
        <v>2030</v>
      </c>
      <c r="F79" s="450">
        <v>2050</v>
      </c>
      <c r="G79" s="450">
        <v>2100</v>
      </c>
    </row>
    <row r="80" spans="1:94" x14ac:dyDescent="0.25">
      <c r="A80" s="675"/>
      <c r="B80" s="675"/>
      <c r="C80" s="675"/>
      <c r="D80" s="445" t="s">
        <v>1269</v>
      </c>
      <c r="E80" s="454">
        <v>30.431000000000001</v>
      </c>
      <c r="F80" s="454">
        <v>60.862000000000002</v>
      </c>
      <c r="G80" s="454">
        <v>73.034400000000005</v>
      </c>
    </row>
    <row r="81" spans="1:94" x14ac:dyDescent="0.25">
      <c r="A81" s="675"/>
      <c r="B81" s="675"/>
      <c r="C81" s="675"/>
      <c r="D81" s="444" t="s">
        <v>1270</v>
      </c>
      <c r="E81" s="455">
        <v>21.402050000000003</v>
      </c>
      <c r="F81" s="455">
        <v>36.617550000000001</v>
      </c>
      <c r="G81" s="455">
        <v>42.703749999999999</v>
      </c>
    </row>
    <row r="82" spans="1:94" x14ac:dyDescent="0.25">
      <c r="A82" s="679"/>
      <c r="B82" s="675"/>
      <c r="C82" s="675"/>
      <c r="D82" s="350" t="s">
        <v>1271</v>
      </c>
      <c r="E82" s="456">
        <v>16.887575000000002</v>
      </c>
      <c r="F82" s="456">
        <v>24.495325000000001</v>
      </c>
      <c r="G82" s="456">
        <v>27.538425000000004</v>
      </c>
    </row>
    <row r="83" spans="1:94" x14ac:dyDescent="0.25">
      <c r="A83" s="676" t="s">
        <v>1417</v>
      </c>
      <c r="B83" s="676"/>
      <c r="C83" s="676"/>
      <c r="D83" s="676"/>
      <c r="E83" s="676"/>
      <c r="F83" s="676"/>
      <c r="G83" s="676"/>
      <c r="H83" s="373"/>
      <c r="I83" s="373"/>
      <c r="J83" s="373"/>
      <c r="K83" s="373"/>
      <c r="L83" s="373"/>
      <c r="M83" s="373"/>
      <c r="N83" s="373"/>
      <c r="O83" s="373"/>
      <c r="P83" s="373"/>
      <c r="Q83" s="373"/>
      <c r="R83" s="373"/>
      <c r="S83" s="373"/>
      <c r="T83" s="373"/>
      <c r="U83" s="373"/>
      <c r="V83" s="373"/>
      <c r="W83" s="373"/>
      <c r="X83" s="373"/>
      <c r="Y83" s="373"/>
      <c r="Z83" s="373"/>
      <c r="AA83" s="373"/>
      <c r="AB83" s="373"/>
      <c r="AC83" s="373"/>
      <c r="AD83" s="373"/>
      <c r="AE83" s="373"/>
      <c r="AF83" s="373"/>
      <c r="AG83" s="373"/>
      <c r="AH83" s="373"/>
      <c r="AI83" s="373"/>
      <c r="AJ83" s="373"/>
      <c r="AK83" s="373"/>
      <c r="AL83" s="373"/>
      <c r="AM83" s="373"/>
      <c r="AN83" s="373"/>
      <c r="AO83" s="373"/>
      <c r="AP83" s="373"/>
      <c r="AQ83" s="373"/>
      <c r="AR83" s="373"/>
      <c r="AS83" s="373"/>
      <c r="AT83" s="373"/>
      <c r="AU83" s="373"/>
      <c r="AV83" s="373"/>
      <c r="AW83" s="373"/>
      <c r="AX83" s="373"/>
      <c r="AY83" s="373"/>
      <c r="AZ83" s="373"/>
      <c r="BA83" s="373"/>
      <c r="BB83" s="373"/>
      <c r="BC83" s="373"/>
      <c r="BD83" s="373"/>
      <c r="BE83" s="373"/>
      <c r="BF83" s="373"/>
      <c r="BG83" s="373"/>
      <c r="BH83" s="373"/>
      <c r="BI83" s="373"/>
      <c r="BJ83" s="373"/>
      <c r="BK83" s="373"/>
      <c r="BL83" s="373"/>
      <c r="BM83" s="373"/>
      <c r="BN83" s="373"/>
      <c r="BO83" s="373"/>
      <c r="BP83" s="373"/>
      <c r="BQ83" s="373"/>
      <c r="BR83" s="373"/>
      <c r="BS83" s="373"/>
      <c r="BT83" s="373"/>
      <c r="BU83" s="373"/>
      <c r="BV83" s="373"/>
      <c r="BW83" s="373"/>
      <c r="BX83" s="373"/>
      <c r="BY83" s="373"/>
      <c r="BZ83" s="373"/>
      <c r="CA83" s="373"/>
      <c r="CB83" s="373"/>
      <c r="CC83" s="373"/>
      <c r="CD83" s="373"/>
      <c r="CE83" s="373"/>
      <c r="CF83" s="373"/>
      <c r="CG83" s="373"/>
      <c r="CH83" s="373"/>
      <c r="CI83" s="373"/>
      <c r="CJ83" s="373"/>
      <c r="CK83" s="373"/>
      <c r="CL83" s="373"/>
      <c r="CM83" s="373"/>
      <c r="CN83" s="373"/>
      <c r="CO83" s="373"/>
      <c r="CP83" s="373"/>
    </row>
    <row r="84" spans="1:94" ht="14.25" customHeight="1" x14ac:dyDescent="0.25">
      <c r="A84" s="677" t="s">
        <v>475</v>
      </c>
      <c r="B84" s="677" t="s">
        <v>479</v>
      </c>
      <c r="C84" s="677" t="s">
        <v>480</v>
      </c>
      <c r="D84" s="684" t="s">
        <v>1287</v>
      </c>
      <c r="E84" s="685"/>
      <c r="F84" s="685"/>
      <c r="G84" s="685"/>
      <c r="H84" s="373"/>
      <c r="I84" s="373"/>
      <c r="J84" s="373"/>
      <c r="K84" s="373"/>
      <c r="L84" s="373"/>
      <c r="M84" s="373"/>
      <c r="N84" s="373"/>
      <c r="O84" s="373"/>
      <c r="P84" s="373"/>
      <c r="Q84" s="373"/>
      <c r="R84" s="373"/>
      <c r="S84" s="373"/>
      <c r="T84" s="373"/>
      <c r="U84" s="373"/>
      <c r="V84" s="373"/>
      <c r="W84" s="373"/>
      <c r="X84" s="373"/>
      <c r="Y84" s="373"/>
      <c r="Z84" s="373"/>
      <c r="AA84" s="373"/>
      <c r="AB84" s="373"/>
      <c r="AC84" s="373"/>
      <c r="AD84" s="373"/>
      <c r="AE84" s="373"/>
      <c r="AF84" s="373"/>
      <c r="AG84" s="373"/>
      <c r="AH84" s="373"/>
      <c r="AI84" s="373"/>
      <c r="AJ84" s="373"/>
      <c r="AK84" s="373"/>
      <c r="AL84" s="373"/>
      <c r="AM84" s="373"/>
      <c r="AN84" s="373"/>
      <c r="AO84" s="373"/>
      <c r="AP84" s="373"/>
      <c r="AQ84" s="373"/>
      <c r="AR84" s="373"/>
      <c r="AS84" s="373"/>
      <c r="AT84" s="373"/>
      <c r="AU84" s="373"/>
      <c r="AV84" s="373"/>
      <c r="AW84" s="373"/>
      <c r="AX84" s="373"/>
      <c r="AY84" s="373"/>
      <c r="AZ84" s="373"/>
      <c r="BA84" s="373"/>
      <c r="BB84" s="373"/>
      <c r="BC84" s="373"/>
      <c r="BD84" s="373"/>
      <c r="BE84" s="373"/>
      <c r="BF84" s="373"/>
      <c r="BG84" s="373"/>
      <c r="BH84" s="373"/>
      <c r="BI84" s="373"/>
      <c r="BJ84" s="373"/>
      <c r="BK84" s="373"/>
      <c r="BL84" s="373"/>
      <c r="BM84" s="373"/>
      <c r="BN84" s="373"/>
      <c r="BO84" s="373"/>
      <c r="BP84" s="373"/>
      <c r="BQ84" s="373"/>
      <c r="BR84" s="373"/>
      <c r="BS84" s="373"/>
      <c r="BT84" s="373"/>
      <c r="BU84" s="373"/>
      <c r="BV84" s="373"/>
      <c r="BW84" s="373"/>
      <c r="BX84" s="373"/>
      <c r="BY84" s="373"/>
      <c r="BZ84" s="373"/>
      <c r="CA84" s="373"/>
      <c r="CB84" s="373"/>
      <c r="CC84" s="373"/>
      <c r="CD84" s="373"/>
      <c r="CE84" s="373"/>
      <c r="CF84" s="373"/>
      <c r="CG84" s="373"/>
      <c r="CH84" s="373"/>
      <c r="CI84" s="373"/>
      <c r="CJ84" s="373"/>
      <c r="CK84" s="373"/>
      <c r="CL84" s="373"/>
      <c r="CM84" s="373"/>
      <c r="CN84" s="373"/>
      <c r="CO84" s="373"/>
      <c r="CP84" s="373"/>
    </row>
    <row r="85" spans="1:94" ht="14.25" customHeight="1" x14ac:dyDescent="0.25">
      <c r="A85" s="678"/>
      <c r="B85" s="678"/>
      <c r="C85" s="678"/>
      <c r="D85" s="682" t="s">
        <v>1328</v>
      </c>
      <c r="E85" s="683"/>
      <c r="F85" s="683"/>
      <c r="G85" s="441" t="s">
        <v>985</v>
      </c>
    </row>
    <row r="86" spans="1:94" x14ac:dyDescent="0.25">
      <c r="A86" s="678"/>
      <c r="B86" s="678"/>
      <c r="C86" s="678"/>
      <c r="D86" s="445"/>
      <c r="E86" s="450">
        <v>2030</v>
      </c>
      <c r="F86" s="450">
        <v>2050</v>
      </c>
      <c r="G86" s="450">
        <v>2100</v>
      </c>
    </row>
    <row r="87" spans="1:94" x14ac:dyDescent="0.25">
      <c r="A87" s="678"/>
      <c r="B87" s="678"/>
      <c r="C87" s="678"/>
      <c r="D87" s="445" t="s">
        <v>1269</v>
      </c>
      <c r="E87" s="454">
        <v>17</v>
      </c>
      <c r="F87" s="454">
        <v>51</v>
      </c>
      <c r="G87" s="454">
        <v>85</v>
      </c>
    </row>
    <row r="88" spans="1:94" x14ac:dyDescent="0.25">
      <c r="A88" s="678"/>
      <c r="B88" s="678"/>
      <c r="C88" s="678"/>
      <c r="D88" s="444" t="s">
        <v>1270</v>
      </c>
      <c r="E88" s="455">
        <v>11.26469</v>
      </c>
      <c r="F88" s="455">
        <v>28.264689999999998</v>
      </c>
      <c r="G88" s="455">
        <v>45.264690000000002</v>
      </c>
    </row>
    <row r="89" spans="1:94" x14ac:dyDescent="0.25">
      <c r="A89" s="678"/>
      <c r="B89" s="678"/>
      <c r="C89" s="678"/>
      <c r="D89" s="350" t="s">
        <v>1271</v>
      </c>
      <c r="E89" s="456">
        <v>8.3970349999999989</v>
      </c>
      <c r="F89" s="456">
        <v>16.897034999999999</v>
      </c>
      <c r="G89" s="456">
        <v>25.397034999999999</v>
      </c>
    </row>
    <row r="90" spans="1:94" x14ac:dyDescent="0.25">
      <c r="A90" s="678"/>
      <c r="B90" s="678"/>
      <c r="C90" s="678"/>
      <c r="D90" s="680" t="s">
        <v>1289</v>
      </c>
      <c r="E90" s="681"/>
      <c r="F90" s="681"/>
      <c r="G90" s="681"/>
    </row>
    <row r="91" spans="1:94" ht="14.25" customHeight="1" x14ac:dyDescent="0.25">
      <c r="A91" s="678"/>
      <c r="B91" s="678"/>
      <c r="C91" s="678"/>
      <c r="D91" s="682" t="s">
        <v>1330</v>
      </c>
      <c r="E91" s="683"/>
      <c r="F91" s="683"/>
      <c r="G91" s="441" t="s">
        <v>985</v>
      </c>
    </row>
    <row r="92" spans="1:94" x14ac:dyDescent="0.25">
      <c r="A92" s="678"/>
      <c r="B92" s="678"/>
      <c r="C92" s="678"/>
      <c r="D92" s="445"/>
      <c r="E92" s="450">
        <v>2030</v>
      </c>
      <c r="F92" s="450">
        <v>2050</v>
      </c>
      <c r="G92" s="450">
        <v>2100</v>
      </c>
    </row>
    <row r="93" spans="1:94" x14ac:dyDescent="0.25">
      <c r="A93" s="678"/>
      <c r="B93" s="678"/>
      <c r="C93" s="678"/>
      <c r="D93" s="445" t="s">
        <v>1269</v>
      </c>
      <c r="E93" s="454">
        <v>2.4</v>
      </c>
      <c r="F93" s="454">
        <v>29.439</v>
      </c>
      <c r="G93" s="454">
        <v>117.854</v>
      </c>
    </row>
    <row r="94" spans="1:94" x14ac:dyDescent="0.25">
      <c r="A94" s="678"/>
      <c r="B94" s="678"/>
      <c r="C94" s="678"/>
      <c r="D94" s="444" t="s">
        <v>1270</v>
      </c>
      <c r="E94" s="455">
        <v>1.2903230000000001</v>
      </c>
      <c r="F94" s="455">
        <v>14.809823</v>
      </c>
      <c r="G94" s="455">
        <v>59.017323000000005</v>
      </c>
    </row>
    <row r="95" spans="1:94" x14ac:dyDescent="0.25">
      <c r="A95" s="678"/>
      <c r="B95" s="678"/>
      <c r="C95" s="678"/>
      <c r="D95" s="350" t="s">
        <v>1271</v>
      </c>
      <c r="E95" s="456">
        <v>0.73548449999999999</v>
      </c>
      <c r="F95" s="456">
        <v>7.4952345000000005</v>
      </c>
      <c r="G95" s="456">
        <v>29.5989845</v>
      </c>
    </row>
    <row r="96" spans="1:94" x14ac:dyDescent="0.25">
      <c r="A96" s="678"/>
      <c r="B96" s="678"/>
      <c r="C96" s="678"/>
      <c r="D96" s="680" t="s">
        <v>1290</v>
      </c>
      <c r="E96" s="681" t="s">
        <v>959</v>
      </c>
      <c r="F96" s="681"/>
      <c r="G96" s="681"/>
    </row>
    <row r="97" spans="1:7" ht="14.25" customHeight="1" x14ac:dyDescent="0.25">
      <c r="A97" s="678"/>
      <c r="B97" s="678"/>
      <c r="C97" s="678"/>
      <c r="D97" s="682" t="s">
        <v>1331</v>
      </c>
      <c r="E97" s="683"/>
      <c r="F97" s="683"/>
      <c r="G97" s="441" t="s">
        <v>985</v>
      </c>
    </row>
    <row r="98" spans="1:7" x14ac:dyDescent="0.25">
      <c r="A98" s="678"/>
      <c r="B98" s="678"/>
      <c r="C98" s="678"/>
      <c r="D98" s="445"/>
      <c r="E98" s="450">
        <v>2030</v>
      </c>
      <c r="F98" s="450">
        <v>2050</v>
      </c>
      <c r="G98" s="450">
        <v>2100</v>
      </c>
    </row>
    <row r="99" spans="1:7" x14ac:dyDescent="0.25">
      <c r="A99" s="678"/>
      <c r="B99" s="678"/>
      <c r="C99" s="678"/>
      <c r="D99" s="445" t="s">
        <v>1269</v>
      </c>
      <c r="E99" s="454">
        <v>7.9</v>
      </c>
      <c r="F99" s="454">
        <v>24.614999999999998</v>
      </c>
      <c r="G99" s="454">
        <v>84.51</v>
      </c>
    </row>
    <row r="100" spans="1:7" x14ac:dyDescent="0.25">
      <c r="A100" s="678"/>
      <c r="B100" s="678"/>
      <c r="C100" s="678"/>
      <c r="D100" s="444" t="s">
        <v>1270</v>
      </c>
      <c r="E100" s="455">
        <v>4.0202904999999998</v>
      </c>
      <c r="F100" s="455">
        <v>12.377790499999998</v>
      </c>
      <c r="G100" s="455">
        <v>42.325290500000001</v>
      </c>
    </row>
    <row r="101" spans="1:7" x14ac:dyDescent="0.25">
      <c r="A101" s="678"/>
      <c r="B101" s="678"/>
      <c r="C101" s="678"/>
      <c r="D101" s="350" t="s">
        <v>1271</v>
      </c>
      <c r="E101" s="456">
        <v>2.0804357499999999</v>
      </c>
      <c r="F101" s="456">
        <v>6.2591857499999994</v>
      </c>
      <c r="G101" s="456">
        <v>21.232935750000003</v>
      </c>
    </row>
    <row r="102" spans="1:7" x14ac:dyDescent="0.25">
      <c r="A102" s="678"/>
      <c r="B102" s="678"/>
      <c r="C102" s="678"/>
      <c r="D102" s="680" t="s">
        <v>1291</v>
      </c>
      <c r="E102" s="681" t="s">
        <v>959</v>
      </c>
      <c r="F102" s="681"/>
      <c r="G102" s="681"/>
    </row>
    <row r="103" spans="1:7" ht="14.25" customHeight="1" x14ac:dyDescent="0.25">
      <c r="A103" s="678"/>
      <c r="B103" s="678"/>
      <c r="C103" s="678"/>
      <c r="D103" s="682" t="s">
        <v>1332</v>
      </c>
      <c r="E103" s="683"/>
      <c r="F103" s="683"/>
      <c r="G103" s="441" t="s">
        <v>1140</v>
      </c>
    </row>
    <row r="104" spans="1:7" x14ac:dyDescent="0.25">
      <c r="A104" s="678"/>
      <c r="B104" s="678"/>
      <c r="C104" s="678"/>
      <c r="D104" s="445"/>
      <c r="E104" s="450">
        <v>2030</v>
      </c>
      <c r="F104" s="450">
        <v>2050</v>
      </c>
      <c r="G104" s="450">
        <v>2100</v>
      </c>
    </row>
    <row r="105" spans="1:7" x14ac:dyDescent="0.25">
      <c r="A105" s="678"/>
      <c r="B105" s="678"/>
      <c r="C105" s="678"/>
      <c r="D105" s="445" t="s">
        <v>1269</v>
      </c>
      <c r="E105" s="451">
        <v>85.235591448204801</v>
      </c>
      <c r="F105" s="451">
        <v>127.85338717230721</v>
      </c>
      <c r="G105" s="451">
        <v>170.4711828964096</v>
      </c>
    </row>
    <row r="106" spans="1:7" x14ac:dyDescent="0.25">
      <c r="A106" s="678"/>
      <c r="B106" s="678"/>
      <c r="C106" s="678"/>
      <c r="D106" s="444" t="s">
        <v>1270</v>
      </c>
      <c r="E106" s="452">
        <v>52.249945724102396</v>
      </c>
      <c r="F106" s="452">
        <v>73.558843586153614</v>
      </c>
      <c r="G106" s="452">
        <v>94.867741448204811</v>
      </c>
    </row>
    <row r="107" spans="1:7" x14ac:dyDescent="0.25">
      <c r="A107" s="678"/>
      <c r="B107" s="678"/>
      <c r="C107" s="678"/>
      <c r="D107" s="350" t="s">
        <v>1271</v>
      </c>
      <c r="E107" s="453">
        <v>35.757122862051197</v>
      </c>
      <c r="F107" s="453">
        <v>46.411571793076803</v>
      </c>
      <c r="G107" s="453">
        <v>57.066020724102401</v>
      </c>
    </row>
    <row r="108" spans="1:7" x14ac:dyDescent="0.25">
      <c r="A108" s="678"/>
      <c r="B108" s="678"/>
      <c r="C108" s="675" t="s">
        <v>737</v>
      </c>
      <c r="D108" s="680" t="s">
        <v>1288</v>
      </c>
      <c r="E108" s="681"/>
      <c r="F108" s="681"/>
      <c r="G108" s="681"/>
    </row>
    <row r="109" spans="1:7" ht="14.25" customHeight="1" x14ac:dyDescent="0.25">
      <c r="A109" s="678"/>
      <c r="B109" s="678"/>
      <c r="C109" s="675"/>
      <c r="D109" s="682" t="s">
        <v>1329</v>
      </c>
      <c r="E109" s="683"/>
      <c r="F109" s="683"/>
      <c r="G109" s="441" t="s">
        <v>985</v>
      </c>
    </row>
    <row r="110" spans="1:7" x14ac:dyDescent="0.25">
      <c r="A110" s="678"/>
      <c r="B110" s="678"/>
      <c r="C110" s="675"/>
      <c r="D110" s="445"/>
      <c r="E110" s="450">
        <v>2030</v>
      </c>
      <c r="F110" s="450">
        <v>2050</v>
      </c>
      <c r="G110" s="450">
        <v>2100</v>
      </c>
    </row>
    <row r="111" spans="1:7" x14ac:dyDescent="0.25">
      <c r="A111" s="678"/>
      <c r="B111" s="678"/>
      <c r="C111" s="675"/>
      <c r="D111" s="445" t="s">
        <v>1269</v>
      </c>
      <c r="E111" s="454">
        <v>76</v>
      </c>
      <c r="F111" s="454">
        <v>49</v>
      </c>
      <c r="G111" s="454">
        <v>15</v>
      </c>
    </row>
    <row r="112" spans="1:7" x14ac:dyDescent="0.25">
      <c r="A112" s="678"/>
      <c r="B112" s="678"/>
      <c r="C112" s="675"/>
      <c r="D112" s="444" t="s">
        <v>1270</v>
      </c>
      <c r="E112" s="455">
        <v>84.917550000000006</v>
      </c>
      <c r="F112" s="455">
        <v>71.417550000000006</v>
      </c>
      <c r="G112" s="455">
        <v>54.417549999999999</v>
      </c>
    </row>
    <row r="113" spans="1:7" x14ac:dyDescent="0.25">
      <c r="A113" s="678"/>
      <c r="B113" s="678"/>
      <c r="C113" s="675"/>
      <c r="D113" s="350" t="s">
        <v>1271</v>
      </c>
      <c r="E113" s="456">
        <v>89.376324999999994</v>
      </c>
      <c r="F113" s="456">
        <v>82.626324999999994</v>
      </c>
      <c r="G113" s="456">
        <v>74.126324999999994</v>
      </c>
    </row>
    <row r="114" spans="1:7" x14ac:dyDescent="0.25">
      <c r="A114" s="678"/>
      <c r="B114" s="678"/>
      <c r="C114" s="675"/>
      <c r="D114" s="680" t="s">
        <v>1292</v>
      </c>
      <c r="E114" s="681" t="s">
        <v>959</v>
      </c>
      <c r="F114" s="681"/>
      <c r="G114" s="681"/>
    </row>
    <row r="115" spans="1:7" ht="14.25" customHeight="1" x14ac:dyDescent="0.25">
      <c r="A115" s="678"/>
      <c r="B115" s="678"/>
      <c r="C115" s="675"/>
      <c r="D115" s="682" t="s">
        <v>1333</v>
      </c>
      <c r="E115" s="683"/>
      <c r="F115" s="683"/>
      <c r="G115" s="441" t="s">
        <v>1140</v>
      </c>
    </row>
    <row r="116" spans="1:7" x14ac:dyDescent="0.25">
      <c r="A116" s="678"/>
      <c r="B116" s="678"/>
      <c r="C116" s="675"/>
      <c r="D116" s="445"/>
      <c r="E116" s="450">
        <v>2030</v>
      </c>
      <c r="F116" s="450">
        <v>2050</v>
      </c>
      <c r="G116" s="450">
        <v>2100</v>
      </c>
    </row>
    <row r="117" spans="1:7" x14ac:dyDescent="0.25">
      <c r="A117" s="678"/>
      <c r="B117" s="678"/>
      <c r="C117" s="675"/>
      <c r="D117" s="445" t="s">
        <v>1269</v>
      </c>
      <c r="E117" s="451">
        <v>136.5</v>
      </c>
      <c r="F117" s="451">
        <v>97.5</v>
      </c>
      <c r="G117" s="451">
        <v>0</v>
      </c>
    </row>
    <row r="118" spans="1:7" x14ac:dyDescent="0.25">
      <c r="A118" s="678"/>
      <c r="B118" s="678"/>
      <c r="C118" s="675"/>
      <c r="D118" s="444" t="s">
        <v>1270</v>
      </c>
      <c r="E118" s="452">
        <v>159.95150000000001</v>
      </c>
      <c r="F118" s="452">
        <v>140.45150000000001</v>
      </c>
      <c r="G118" s="452">
        <v>91.701499999999996</v>
      </c>
    </row>
    <row r="119" spans="1:7" x14ac:dyDescent="0.25">
      <c r="A119" s="678"/>
      <c r="B119" s="678"/>
      <c r="C119" s="675"/>
      <c r="D119" s="350" t="s">
        <v>1271</v>
      </c>
      <c r="E119" s="453">
        <v>171.67724999999999</v>
      </c>
      <c r="F119" s="453">
        <v>161.92724999999999</v>
      </c>
      <c r="G119" s="453">
        <v>137.55224999999999</v>
      </c>
    </row>
    <row r="120" spans="1:7" x14ac:dyDescent="0.25">
      <c r="A120" s="678"/>
      <c r="B120" s="678"/>
      <c r="C120" s="675"/>
      <c r="D120" s="680" t="s">
        <v>1293</v>
      </c>
      <c r="E120" s="681" t="s">
        <v>959</v>
      </c>
      <c r="F120" s="681"/>
      <c r="G120" s="681"/>
    </row>
    <row r="121" spans="1:7" ht="14.25" customHeight="1" x14ac:dyDescent="0.25">
      <c r="A121" s="678"/>
      <c r="B121" s="678"/>
      <c r="C121" s="675"/>
      <c r="D121" s="682" t="s">
        <v>1334</v>
      </c>
      <c r="E121" s="683"/>
      <c r="F121" s="683"/>
      <c r="G121" s="441" t="s">
        <v>1140</v>
      </c>
    </row>
    <row r="122" spans="1:7" x14ac:dyDescent="0.25">
      <c r="A122" s="678"/>
      <c r="B122" s="678"/>
      <c r="C122" s="675"/>
      <c r="D122" s="445"/>
      <c r="E122" s="450">
        <v>2030</v>
      </c>
      <c r="F122" s="450">
        <v>2050</v>
      </c>
      <c r="G122" s="450">
        <v>2100</v>
      </c>
    </row>
    <row r="123" spans="1:7" x14ac:dyDescent="0.25">
      <c r="A123" s="678"/>
      <c r="B123" s="678"/>
      <c r="C123" s="675"/>
      <c r="D123" s="445" t="s">
        <v>1269</v>
      </c>
      <c r="E123" s="451">
        <v>106.53229999999999</v>
      </c>
      <c r="F123" s="451">
        <v>76.094499999999996</v>
      </c>
      <c r="G123" s="451">
        <v>0</v>
      </c>
    </row>
    <row r="124" spans="1:7" x14ac:dyDescent="0.25">
      <c r="A124" s="678"/>
      <c r="B124" s="678"/>
      <c r="C124" s="675"/>
      <c r="D124" s="444" t="s">
        <v>1270</v>
      </c>
      <c r="E124" s="452">
        <v>118.32715</v>
      </c>
      <c r="F124" s="452">
        <v>103.10825</v>
      </c>
      <c r="G124" s="452">
        <v>65.061000000000007</v>
      </c>
    </row>
    <row r="125" spans="1:7" x14ac:dyDescent="0.25">
      <c r="A125" s="678"/>
      <c r="B125" s="678"/>
      <c r="C125" s="675"/>
      <c r="D125" s="350" t="s">
        <v>1271</v>
      </c>
      <c r="E125" s="453">
        <v>124.22457500000002</v>
      </c>
      <c r="F125" s="453">
        <v>116.61512500000001</v>
      </c>
      <c r="G125" s="453">
        <v>97.591500000000011</v>
      </c>
    </row>
    <row r="126" spans="1:7" x14ac:dyDescent="0.25">
      <c r="A126" s="678"/>
      <c r="B126" s="678"/>
      <c r="C126" s="675"/>
      <c r="D126" s="680" t="s">
        <v>1294</v>
      </c>
      <c r="E126" s="681" t="s">
        <v>959</v>
      </c>
      <c r="F126" s="681"/>
      <c r="G126" s="681"/>
    </row>
    <row r="127" spans="1:7" ht="14.25" customHeight="1" x14ac:dyDescent="0.25">
      <c r="A127" s="678"/>
      <c r="B127" s="678"/>
      <c r="C127" s="675"/>
      <c r="D127" s="682" t="s">
        <v>1335</v>
      </c>
      <c r="E127" s="683"/>
      <c r="F127" s="683"/>
      <c r="G127" s="441" t="s">
        <v>1140</v>
      </c>
    </row>
    <row r="128" spans="1:7" x14ac:dyDescent="0.25">
      <c r="A128" s="678"/>
      <c r="B128" s="678"/>
      <c r="C128" s="675"/>
      <c r="D128" s="445"/>
      <c r="E128" s="450">
        <v>2030</v>
      </c>
      <c r="F128" s="450">
        <v>2050</v>
      </c>
      <c r="G128" s="450">
        <v>2100</v>
      </c>
    </row>
    <row r="129" spans="1:7" x14ac:dyDescent="0.25">
      <c r="A129" s="678"/>
      <c r="B129" s="678"/>
      <c r="C129" s="675"/>
      <c r="D129" s="445" t="s">
        <v>1269</v>
      </c>
      <c r="E129" s="454">
        <v>71.885499999999993</v>
      </c>
      <c r="F129" s="454">
        <v>43.131299999999996</v>
      </c>
      <c r="G129" s="454">
        <v>0</v>
      </c>
    </row>
    <row r="130" spans="1:7" x14ac:dyDescent="0.25">
      <c r="A130" s="678"/>
      <c r="B130" s="678"/>
      <c r="C130" s="675"/>
      <c r="D130" s="444" t="s">
        <v>1270</v>
      </c>
      <c r="E130" s="455">
        <v>88.932749999999999</v>
      </c>
      <c r="F130" s="455">
        <v>74.55565</v>
      </c>
      <c r="G130" s="455">
        <v>52.99</v>
      </c>
    </row>
    <row r="131" spans="1:7" x14ac:dyDescent="0.25">
      <c r="A131" s="678"/>
      <c r="B131" s="678"/>
      <c r="C131" s="675"/>
      <c r="D131" s="350" t="s">
        <v>1271</v>
      </c>
      <c r="E131" s="456">
        <v>97.456375000000008</v>
      </c>
      <c r="F131" s="456">
        <v>90.267825000000002</v>
      </c>
      <c r="G131" s="456">
        <v>79.484999999999999</v>
      </c>
    </row>
    <row r="132" spans="1:7" x14ac:dyDescent="0.25">
      <c r="A132" s="678"/>
      <c r="B132" s="675" t="s">
        <v>481</v>
      </c>
      <c r="C132" s="675" t="s">
        <v>482</v>
      </c>
      <c r="D132" s="680" t="s">
        <v>1295</v>
      </c>
      <c r="E132" s="681"/>
      <c r="F132" s="681"/>
      <c r="G132" s="681"/>
    </row>
    <row r="133" spans="1:7" ht="14.25" customHeight="1" x14ac:dyDescent="0.25">
      <c r="A133" s="678"/>
      <c r="B133" s="675"/>
      <c r="C133" s="675"/>
      <c r="D133" s="682" t="s">
        <v>1336</v>
      </c>
      <c r="E133" s="683"/>
      <c r="F133" s="683"/>
      <c r="G133" s="441" t="s">
        <v>982</v>
      </c>
    </row>
    <row r="134" spans="1:7" x14ac:dyDescent="0.25">
      <c r="A134" s="678"/>
      <c r="B134" s="675"/>
      <c r="C134" s="675"/>
      <c r="D134" s="445"/>
      <c r="E134" s="450">
        <v>2030</v>
      </c>
      <c r="F134" s="450">
        <v>2050</v>
      </c>
      <c r="G134" s="450">
        <v>2100</v>
      </c>
    </row>
    <row r="135" spans="1:7" x14ac:dyDescent="0.25">
      <c r="A135" s="678"/>
      <c r="B135" s="675"/>
      <c r="C135" s="675"/>
      <c r="D135" s="445" t="s">
        <v>1269</v>
      </c>
      <c r="E135" s="454">
        <v>3.8485347622499999</v>
      </c>
      <c r="F135" s="454">
        <v>2.5656898414999998</v>
      </c>
      <c r="G135" s="454">
        <v>1.0262759366</v>
      </c>
    </row>
    <row r="136" spans="1:7" x14ac:dyDescent="0.25">
      <c r="A136" s="678"/>
      <c r="B136" s="675"/>
      <c r="C136" s="675"/>
      <c r="D136" s="444" t="s">
        <v>1270</v>
      </c>
      <c r="E136" s="455">
        <v>5.7779223811250002</v>
      </c>
      <c r="F136" s="455">
        <v>5.1364999207499995</v>
      </c>
      <c r="G136" s="455">
        <v>4.3667929683000004</v>
      </c>
    </row>
    <row r="137" spans="1:7" x14ac:dyDescent="0.25">
      <c r="A137" s="679"/>
      <c r="B137" s="679"/>
      <c r="C137" s="679"/>
      <c r="D137" s="350" t="s">
        <v>1271</v>
      </c>
      <c r="E137" s="456">
        <v>6.7426161905624999</v>
      </c>
      <c r="F137" s="456">
        <v>6.4219049603749996</v>
      </c>
      <c r="G137" s="456">
        <v>6.03705148415</v>
      </c>
    </row>
    <row r="138" spans="1:7" x14ac:dyDescent="0.25">
      <c r="A138" s="676" t="s">
        <v>1419</v>
      </c>
      <c r="B138" s="676"/>
      <c r="C138" s="676"/>
      <c r="D138" s="676"/>
      <c r="E138" s="676"/>
      <c r="F138" s="676"/>
      <c r="G138" s="676"/>
    </row>
    <row r="139" spans="1:7" x14ac:dyDescent="0.25">
      <c r="A139" s="675" t="s">
        <v>521</v>
      </c>
      <c r="B139" s="675" t="s">
        <v>1261</v>
      </c>
      <c r="C139" s="675" t="s">
        <v>925</v>
      </c>
      <c r="D139" s="684" t="s">
        <v>1297</v>
      </c>
      <c r="E139" s="685"/>
      <c r="F139" s="685"/>
      <c r="G139" s="685"/>
    </row>
    <row r="140" spans="1:7" ht="14.25" customHeight="1" x14ac:dyDescent="0.25">
      <c r="A140" s="675"/>
      <c r="B140" s="675"/>
      <c r="C140" s="675"/>
      <c r="D140" s="682" t="s">
        <v>1337</v>
      </c>
      <c r="E140" s="683"/>
      <c r="F140" s="683"/>
      <c r="G140" s="441" t="s">
        <v>982</v>
      </c>
    </row>
    <row r="141" spans="1:7" x14ac:dyDescent="0.25">
      <c r="A141" s="675"/>
      <c r="B141" s="675"/>
      <c r="C141" s="675"/>
      <c r="D141" s="445"/>
      <c r="E141" s="450">
        <v>2030</v>
      </c>
      <c r="F141" s="450">
        <v>2050</v>
      </c>
      <c r="G141" s="450">
        <v>2100</v>
      </c>
    </row>
    <row r="142" spans="1:7" x14ac:dyDescent="0.25">
      <c r="A142" s="675"/>
      <c r="B142" s="675"/>
      <c r="C142" s="675"/>
      <c r="D142" s="445" t="s">
        <v>1269</v>
      </c>
      <c r="E142" s="454">
        <v>22.98</v>
      </c>
      <c r="F142" s="454">
        <v>42.511000000000003</v>
      </c>
      <c r="G142" s="454">
        <v>139.797</v>
      </c>
    </row>
    <row r="143" spans="1:7" x14ac:dyDescent="0.25">
      <c r="A143" s="675"/>
      <c r="B143" s="675"/>
      <c r="C143" s="675"/>
      <c r="D143" s="444" t="s">
        <v>1270</v>
      </c>
      <c r="E143" s="455">
        <v>15.653970000000001</v>
      </c>
      <c r="F143" s="455">
        <v>25.419470000000004</v>
      </c>
      <c r="G143" s="455">
        <v>74.06246999999999</v>
      </c>
    </row>
    <row r="144" spans="1:7" x14ac:dyDescent="0.25">
      <c r="A144" s="675"/>
      <c r="B144" s="675"/>
      <c r="C144" s="675"/>
      <c r="D144" s="350" t="s">
        <v>1271</v>
      </c>
      <c r="E144" s="456">
        <v>11.990955</v>
      </c>
      <c r="F144" s="456">
        <v>16.873705000000001</v>
      </c>
      <c r="G144" s="456">
        <v>41.195204999999994</v>
      </c>
    </row>
    <row r="145" spans="1:7" x14ac:dyDescent="0.25">
      <c r="A145" s="675"/>
      <c r="B145" s="675" t="s">
        <v>1262</v>
      </c>
      <c r="C145" s="675" t="s">
        <v>1009</v>
      </c>
      <c r="D145" s="680" t="s">
        <v>1309</v>
      </c>
      <c r="E145" s="681"/>
      <c r="F145" s="681"/>
      <c r="G145" s="681"/>
    </row>
    <row r="146" spans="1:7" ht="14.25" customHeight="1" x14ac:dyDescent="0.25">
      <c r="A146" s="675"/>
      <c r="B146" s="675"/>
      <c r="C146" s="675"/>
      <c r="D146" s="682" t="s">
        <v>1338</v>
      </c>
      <c r="E146" s="683"/>
      <c r="F146" s="683"/>
      <c r="G146" s="441" t="s">
        <v>1140</v>
      </c>
    </row>
    <row r="147" spans="1:7" x14ac:dyDescent="0.25">
      <c r="A147" s="675"/>
      <c r="B147" s="675"/>
      <c r="C147" s="675"/>
      <c r="D147" s="445"/>
      <c r="E147" s="450">
        <v>2030</v>
      </c>
      <c r="F147" s="450">
        <v>2050</v>
      </c>
      <c r="G147" s="450">
        <v>2100</v>
      </c>
    </row>
    <row r="148" spans="1:7" x14ac:dyDescent="0.25">
      <c r="A148" s="675"/>
      <c r="B148" s="675"/>
      <c r="C148" s="675"/>
      <c r="D148" s="445" t="s">
        <v>1269</v>
      </c>
      <c r="E148" s="454">
        <v>0.244804065099676</v>
      </c>
      <c r="F148" s="454">
        <v>9.7921626039870369E-2</v>
      </c>
      <c r="G148" s="454">
        <v>0</v>
      </c>
    </row>
    <row r="149" spans="1:7" x14ac:dyDescent="0.25">
      <c r="A149" s="675"/>
      <c r="B149" s="675"/>
      <c r="C149" s="675"/>
      <c r="D149" s="444" t="s">
        <v>1270</v>
      </c>
      <c r="E149" s="455">
        <v>0.39210653254983802</v>
      </c>
      <c r="F149" s="455">
        <v>0.31866531301993517</v>
      </c>
      <c r="G149" s="455">
        <v>0.26970450000000001</v>
      </c>
    </row>
    <row r="150" spans="1:7" x14ac:dyDescent="0.25">
      <c r="A150" s="679"/>
      <c r="B150" s="675"/>
      <c r="C150" s="675"/>
      <c r="D150" s="350" t="s">
        <v>1271</v>
      </c>
      <c r="E150" s="456">
        <v>0.46575776627491905</v>
      </c>
      <c r="F150" s="456">
        <v>0.4290371565099676</v>
      </c>
      <c r="G150" s="456">
        <v>0.40455675000000002</v>
      </c>
    </row>
    <row r="151" spans="1:7" x14ac:dyDescent="0.25">
      <c r="A151" s="676" t="s">
        <v>1272</v>
      </c>
      <c r="B151" s="676"/>
      <c r="C151" s="676"/>
      <c r="D151" s="676"/>
      <c r="E151" s="676"/>
      <c r="F151" s="676"/>
      <c r="G151" s="676"/>
    </row>
    <row r="152" spans="1:7" x14ac:dyDescent="0.25">
      <c r="A152" s="677" t="s">
        <v>487</v>
      </c>
      <c r="B152" s="677" t="s">
        <v>488</v>
      </c>
      <c r="C152" s="677" t="s">
        <v>1268</v>
      </c>
      <c r="D152" s="684" t="s">
        <v>1308</v>
      </c>
      <c r="E152" s="685"/>
      <c r="F152" s="685"/>
      <c r="G152" s="685"/>
    </row>
    <row r="153" spans="1:7" ht="14.25" customHeight="1" x14ac:dyDescent="0.25">
      <c r="A153" s="678"/>
      <c r="B153" s="678"/>
      <c r="C153" s="678"/>
      <c r="D153" s="682" t="s">
        <v>1356</v>
      </c>
      <c r="E153" s="683"/>
      <c r="F153" s="683"/>
      <c r="G153" s="441" t="s">
        <v>1140</v>
      </c>
    </row>
    <row r="154" spans="1:7" x14ac:dyDescent="0.25">
      <c r="A154" s="675"/>
      <c r="B154" s="675"/>
      <c r="C154" s="675"/>
      <c r="D154" s="445"/>
      <c r="E154" s="450">
        <v>2030</v>
      </c>
      <c r="F154" s="450">
        <v>2050</v>
      </c>
      <c r="G154" s="450">
        <v>2100</v>
      </c>
    </row>
    <row r="155" spans="1:7" x14ac:dyDescent="0.25">
      <c r="A155" s="675"/>
      <c r="B155" s="675"/>
      <c r="C155" s="675"/>
      <c r="D155" s="445" t="s">
        <v>1269</v>
      </c>
      <c r="E155" s="454">
        <v>33.135287499999997</v>
      </c>
      <c r="F155" s="454">
        <v>19.881172499999998</v>
      </c>
      <c r="G155" s="454">
        <v>6.6270574999999994</v>
      </c>
    </row>
    <row r="156" spans="1:7" x14ac:dyDescent="0.25">
      <c r="A156" s="675"/>
      <c r="B156" s="675"/>
      <c r="C156" s="675"/>
      <c r="D156" s="444" t="s">
        <v>1270</v>
      </c>
      <c r="E156" s="455">
        <v>28.839693749999999</v>
      </c>
      <c r="F156" s="455">
        <v>22.212636249999999</v>
      </c>
      <c r="G156" s="455">
        <v>15.58557875</v>
      </c>
    </row>
    <row r="157" spans="1:7" x14ac:dyDescent="0.25">
      <c r="A157" s="675"/>
      <c r="B157" s="675"/>
      <c r="C157" s="675"/>
      <c r="D157" s="350" t="s">
        <v>1271</v>
      </c>
      <c r="E157" s="456">
        <v>26.691896874999998</v>
      </c>
      <c r="F157" s="456">
        <v>23.378368125000001</v>
      </c>
      <c r="G157" s="456">
        <v>20.064839374999998</v>
      </c>
    </row>
    <row r="158" spans="1:7" ht="33.75" customHeight="1" x14ac:dyDescent="0.25">
      <c r="A158" s="675"/>
      <c r="B158" s="675"/>
      <c r="C158" s="675"/>
      <c r="D158" s="680" t="s">
        <v>1310</v>
      </c>
      <c r="E158" s="681"/>
      <c r="F158" s="681"/>
      <c r="G158" s="681"/>
    </row>
    <row r="159" spans="1:7" ht="14.25" customHeight="1" x14ac:dyDescent="0.25">
      <c r="A159" s="675"/>
      <c r="B159" s="675"/>
      <c r="C159" s="675"/>
      <c r="D159" s="682" t="s">
        <v>1339</v>
      </c>
      <c r="E159" s="683"/>
      <c r="F159" s="683"/>
      <c r="G159" s="441" t="s">
        <v>985</v>
      </c>
    </row>
    <row r="160" spans="1:7" x14ac:dyDescent="0.25">
      <c r="A160" s="675"/>
      <c r="B160" s="675"/>
      <c r="C160" s="675"/>
      <c r="D160" s="445"/>
      <c r="E160" s="450">
        <v>2030</v>
      </c>
      <c r="F160" s="450">
        <v>2050</v>
      </c>
      <c r="G160" s="450">
        <v>2100</v>
      </c>
    </row>
    <row r="161" spans="1:7" x14ac:dyDescent="0.25">
      <c r="A161" s="675"/>
      <c r="B161" s="675"/>
      <c r="C161" s="675"/>
      <c r="D161" s="445" t="s">
        <v>1269</v>
      </c>
      <c r="E161" s="454">
        <v>8</v>
      </c>
      <c r="F161" s="454">
        <v>4</v>
      </c>
      <c r="G161" s="454">
        <v>1.6</v>
      </c>
    </row>
    <row r="162" spans="1:7" x14ac:dyDescent="0.25">
      <c r="A162" s="675"/>
      <c r="B162" s="675"/>
      <c r="C162" s="675"/>
      <c r="D162" s="444" t="s">
        <v>1270</v>
      </c>
      <c r="E162" s="455">
        <v>8.5068400000000004</v>
      </c>
      <c r="F162" s="455">
        <v>6.5068400000000004</v>
      </c>
      <c r="G162" s="455">
        <v>5.3068400000000002</v>
      </c>
    </row>
    <row r="163" spans="1:7" x14ac:dyDescent="0.25">
      <c r="A163" s="675"/>
      <c r="B163" s="675"/>
      <c r="C163" s="675"/>
      <c r="D163" s="350" t="s">
        <v>1271</v>
      </c>
      <c r="E163" s="456">
        <v>8.7602600000000006</v>
      </c>
      <c r="F163" s="456">
        <v>7.7602600000000006</v>
      </c>
      <c r="G163" s="456">
        <v>7.160260000000001</v>
      </c>
    </row>
    <row r="164" spans="1:7" ht="29.25" customHeight="1" x14ac:dyDescent="0.25">
      <c r="A164" s="675"/>
      <c r="B164" s="675"/>
      <c r="C164" s="675"/>
      <c r="D164" s="680" t="s">
        <v>1307</v>
      </c>
      <c r="E164" s="681"/>
      <c r="F164" s="681"/>
      <c r="G164" s="681"/>
    </row>
    <row r="165" spans="1:7" ht="14.25" customHeight="1" x14ac:dyDescent="0.25">
      <c r="A165" s="675"/>
      <c r="B165" s="675"/>
      <c r="C165" s="675"/>
      <c r="D165" s="682" t="s">
        <v>1340</v>
      </c>
      <c r="E165" s="683"/>
      <c r="F165" s="683"/>
      <c r="G165" s="441" t="s">
        <v>1140</v>
      </c>
    </row>
    <row r="166" spans="1:7" x14ac:dyDescent="0.25">
      <c r="A166" s="675"/>
      <c r="B166" s="675"/>
      <c r="C166" s="675"/>
      <c r="D166" s="445"/>
      <c r="E166" s="450">
        <v>2030</v>
      </c>
      <c r="F166" s="450">
        <v>2050</v>
      </c>
      <c r="G166" s="450">
        <v>2100</v>
      </c>
    </row>
    <row r="167" spans="1:7" x14ac:dyDescent="0.25">
      <c r="A167" s="675"/>
      <c r="B167" s="675"/>
      <c r="C167" s="675"/>
      <c r="D167" s="445" t="s">
        <v>1269</v>
      </c>
      <c r="E167" s="451">
        <v>95697.18</v>
      </c>
      <c r="F167" s="451">
        <v>85064.16</v>
      </c>
      <c r="G167" s="451">
        <v>74431.14</v>
      </c>
    </row>
    <row r="168" spans="1:7" x14ac:dyDescent="0.25">
      <c r="A168" s="675"/>
      <c r="B168" s="675"/>
      <c r="C168" s="675"/>
      <c r="D168" s="444" t="s">
        <v>1270</v>
      </c>
      <c r="E168" s="452">
        <v>102170.59</v>
      </c>
      <c r="F168" s="452">
        <v>96854.080000000002</v>
      </c>
      <c r="G168" s="452">
        <v>91537.57</v>
      </c>
    </row>
    <row r="169" spans="1:7" x14ac:dyDescent="0.25">
      <c r="A169" s="675"/>
      <c r="B169" s="675"/>
      <c r="C169" s="675"/>
      <c r="D169" s="350" t="s">
        <v>1271</v>
      </c>
      <c r="E169" s="453">
        <v>105407.295</v>
      </c>
      <c r="F169" s="453">
        <v>102749.04000000001</v>
      </c>
      <c r="G169" s="453">
        <v>100090.785</v>
      </c>
    </row>
    <row r="170" spans="1:7" x14ac:dyDescent="0.25">
      <c r="A170" s="675"/>
      <c r="B170" s="675"/>
      <c r="C170" s="675"/>
      <c r="D170" s="680" t="s">
        <v>1306</v>
      </c>
      <c r="E170" s="681" t="s">
        <v>819</v>
      </c>
      <c r="F170" s="681"/>
      <c r="G170" s="681"/>
    </row>
    <row r="171" spans="1:7" ht="14.25" customHeight="1" x14ac:dyDescent="0.25">
      <c r="A171" s="675"/>
      <c r="B171" s="675"/>
      <c r="C171" s="675"/>
      <c r="D171" s="682" t="s">
        <v>1341</v>
      </c>
      <c r="E171" s="683"/>
      <c r="F171" s="683"/>
      <c r="G171" s="441" t="s">
        <v>1140</v>
      </c>
    </row>
    <row r="172" spans="1:7" x14ac:dyDescent="0.25">
      <c r="A172" s="675"/>
      <c r="B172" s="675"/>
      <c r="C172" s="675"/>
      <c r="D172" s="445"/>
      <c r="E172" s="450">
        <v>2030</v>
      </c>
      <c r="F172" s="450">
        <v>2050</v>
      </c>
      <c r="G172" s="450">
        <v>2100</v>
      </c>
    </row>
    <row r="173" spans="1:7" x14ac:dyDescent="0.25">
      <c r="A173" s="675"/>
      <c r="B173" s="675"/>
      <c r="C173" s="675"/>
      <c r="D173" s="445" t="s">
        <v>1269</v>
      </c>
      <c r="E173" s="451">
        <v>16613.771854500003</v>
      </c>
      <c r="F173" s="451">
        <v>14767.797204000002</v>
      </c>
      <c r="G173" s="451">
        <v>12921.822553500002</v>
      </c>
    </row>
    <row r="174" spans="1:7" x14ac:dyDescent="0.25">
      <c r="A174" s="675"/>
      <c r="B174" s="675"/>
      <c r="C174" s="675"/>
      <c r="D174" s="444" t="s">
        <v>1270</v>
      </c>
      <c r="E174" s="452">
        <v>18476.785927249999</v>
      </c>
      <c r="F174" s="452">
        <v>17553.798602000003</v>
      </c>
      <c r="G174" s="452">
        <v>16630.811276749999</v>
      </c>
    </row>
    <row r="175" spans="1:7" x14ac:dyDescent="0.25">
      <c r="A175" s="675"/>
      <c r="B175" s="675"/>
      <c r="C175" s="675"/>
      <c r="D175" s="350" t="s">
        <v>1271</v>
      </c>
      <c r="E175" s="453">
        <v>19408.292963625001</v>
      </c>
      <c r="F175" s="453">
        <v>18946.799300999999</v>
      </c>
      <c r="G175" s="453">
        <v>18485.305638375001</v>
      </c>
    </row>
    <row r="176" spans="1:7" x14ac:dyDescent="0.25">
      <c r="A176" s="675"/>
      <c r="B176" s="675"/>
      <c r="C176" s="675"/>
      <c r="D176" s="680" t="s">
        <v>1315</v>
      </c>
      <c r="E176" s="681"/>
      <c r="F176" s="681"/>
      <c r="G176" s="681"/>
    </row>
    <row r="177" spans="1:7" ht="14.25" customHeight="1" x14ac:dyDescent="0.25">
      <c r="A177" s="675"/>
      <c r="B177" s="675"/>
      <c r="C177" s="675"/>
      <c r="D177" s="682" t="s">
        <v>1357</v>
      </c>
      <c r="E177" s="683"/>
      <c r="F177" s="683"/>
      <c r="G177" s="441" t="s">
        <v>978</v>
      </c>
    </row>
    <row r="178" spans="1:7" x14ac:dyDescent="0.25">
      <c r="A178" s="675"/>
      <c r="B178" s="675"/>
      <c r="C178" s="675"/>
      <c r="D178" s="445"/>
      <c r="E178" s="450">
        <v>2030</v>
      </c>
      <c r="F178" s="450">
        <v>2050</v>
      </c>
      <c r="G178" s="450">
        <v>2100</v>
      </c>
    </row>
    <row r="179" spans="1:7" x14ac:dyDescent="0.25">
      <c r="A179" s="675"/>
      <c r="B179" s="675"/>
      <c r="C179" s="675"/>
      <c r="D179" s="445" t="s">
        <v>1269</v>
      </c>
      <c r="E179" s="454">
        <v>5.6833</v>
      </c>
      <c r="F179" s="454">
        <v>2.84165</v>
      </c>
      <c r="G179" s="454">
        <v>1.13666</v>
      </c>
    </row>
    <row r="180" spans="1:7" x14ac:dyDescent="0.25">
      <c r="A180" s="675"/>
      <c r="B180" s="675"/>
      <c r="C180" s="675"/>
      <c r="D180" s="444" t="s">
        <v>1270</v>
      </c>
      <c r="E180" s="455">
        <v>7.7023899999999994</v>
      </c>
      <c r="F180" s="455">
        <v>6.2815649999999996</v>
      </c>
      <c r="G180" s="455">
        <v>5.4290699999999994</v>
      </c>
    </row>
    <row r="181" spans="1:7" x14ac:dyDescent="0.25">
      <c r="A181" s="679"/>
      <c r="B181" s="679"/>
      <c r="C181" s="679"/>
      <c r="D181" s="350" t="s">
        <v>1271</v>
      </c>
      <c r="E181" s="456">
        <v>8.7119350000000004</v>
      </c>
      <c r="F181" s="456">
        <v>8.0015225000000001</v>
      </c>
      <c r="G181" s="456">
        <v>7.5752749999999995</v>
      </c>
    </row>
    <row r="182" spans="1:7" x14ac:dyDescent="0.25">
      <c r="A182" s="676" t="s">
        <v>1359</v>
      </c>
      <c r="B182" s="676"/>
      <c r="C182" s="676"/>
      <c r="D182" s="676"/>
      <c r="E182" s="676"/>
      <c r="F182" s="676"/>
      <c r="G182" s="676"/>
    </row>
    <row r="183" spans="1:7" x14ac:dyDescent="0.25">
      <c r="A183" s="677" t="s">
        <v>489</v>
      </c>
      <c r="B183" s="677" t="s">
        <v>490</v>
      </c>
      <c r="C183" s="677" t="s">
        <v>660</v>
      </c>
      <c r="D183" s="684" t="s">
        <v>1311</v>
      </c>
      <c r="E183" s="685"/>
      <c r="F183" s="685"/>
      <c r="G183" s="685"/>
    </row>
    <row r="184" spans="1:7" ht="14.25" customHeight="1" x14ac:dyDescent="0.25">
      <c r="A184" s="678"/>
      <c r="B184" s="678"/>
      <c r="C184" s="678"/>
      <c r="D184" s="682" t="s">
        <v>1342</v>
      </c>
      <c r="E184" s="683"/>
      <c r="F184" s="683"/>
      <c r="G184" s="441" t="s">
        <v>985</v>
      </c>
    </row>
    <row r="185" spans="1:7" x14ac:dyDescent="0.25">
      <c r="A185" s="675"/>
      <c r="B185" s="675"/>
      <c r="C185" s="675"/>
      <c r="D185" s="445"/>
      <c r="E185" s="450">
        <v>2030</v>
      </c>
      <c r="F185" s="450">
        <v>2050</v>
      </c>
      <c r="G185" s="450">
        <v>2100</v>
      </c>
    </row>
    <row r="186" spans="1:7" x14ac:dyDescent="0.25">
      <c r="A186" s="675"/>
      <c r="B186" s="675"/>
      <c r="C186" s="675"/>
      <c r="D186" s="445" t="s">
        <v>1269</v>
      </c>
      <c r="E186" s="451">
        <v>417.68005882352941</v>
      </c>
      <c r="F186" s="451">
        <v>437.20947058823532</v>
      </c>
      <c r="G186" s="451">
        <v>480</v>
      </c>
    </row>
    <row r="187" spans="1:7" x14ac:dyDescent="0.25">
      <c r="A187" s="675"/>
      <c r="B187" s="675"/>
      <c r="C187" s="675"/>
      <c r="D187" s="444" t="s">
        <v>1270</v>
      </c>
      <c r="E187" s="452">
        <v>434.26829411764709</v>
      </c>
      <c r="F187" s="452">
        <v>475.91535294117648</v>
      </c>
      <c r="G187" s="452">
        <v>580</v>
      </c>
    </row>
    <row r="188" spans="1:7" x14ac:dyDescent="0.25">
      <c r="A188" s="675"/>
      <c r="B188" s="675"/>
      <c r="C188" s="675"/>
      <c r="D188" s="350" t="s">
        <v>1271</v>
      </c>
      <c r="E188" s="453">
        <v>446.62123529411764</v>
      </c>
      <c r="F188" s="453">
        <v>504.73888235294118</v>
      </c>
      <c r="G188" s="453">
        <v>650</v>
      </c>
    </row>
    <row r="189" spans="1:7" x14ac:dyDescent="0.25">
      <c r="A189" s="675"/>
      <c r="B189" s="675"/>
      <c r="C189" s="675"/>
      <c r="D189" s="680" t="s">
        <v>1305</v>
      </c>
      <c r="E189" s="681"/>
      <c r="F189" s="681"/>
      <c r="G189" s="681"/>
    </row>
    <row r="190" spans="1:7" ht="14.25" customHeight="1" x14ac:dyDescent="0.25">
      <c r="A190" s="675"/>
      <c r="B190" s="675"/>
      <c r="C190" s="675"/>
      <c r="D190" s="682" t="s">
        <v>1343</v>
      </c>
      <c r="E190" s="683"/>
      <c r="F190" s="683"/>
      <c r="G190" s="441" t="s">
        <v>1140</v>
      </c>
    </row>
    <row r="191" spans="1:7" x14ac:dyDescent="0.25">
      <c r="A191" s="675"/>
      <c r="B191" s="675"/>
      <c r="C191" s="675"/>
      <c r="D191" s="445"/>
      <c r="E191" s="450">
        <v>2030</v>
      </c>
      <c r="F191" s="450">
        <v>2050</v>
      </c>
      <c r="G191" s="450">
        <v>2100</v>
      </c>
    </row>
    <row r="192" spans="1:7" x14ac:dyDescent="0.25">
      <c r="A192" s="675"/>
      <c r="B192" s="675"/>
      <c r="C192" s="675"/>
      <c r="D192" s="445" t="s">
        <v>1269</v>
      </c>
      <c r="E192" s="451">
        <v>4000756778.4908018</v>
      </c>
      <c r="F192" s="451">
        <v>3369058339.7817278</v>
      </c>
      <c r="G192" s="451">
        <v>2105661462.36358</v>
      </c>
    </row>
    <row r="193" spans="1:7" x14ac:dyDescent="0.25">
      <c r="A193" s="675"/>
      <c r="B193" s="675"/>
      <c r="C193" s="675"/>
      <c r="D193" s="444" t="s">
        <v>1270</v>
      </c>
      <c r="E193" s="452">
        <v>4240963389.2454009</v>
      </c>
      <c r="F193" s="452">
        <v>3925114169.8908639</v>
      </c>
      <c r="G193" s="452">
        <v>3293415731.1817899</v>
      </c>
    </row>
    <row r="194" spans="1:7" x14ac:dyDescent="0.25">
      <c r="A194" s="675"/>
      <c r="B194" s="675"/>
      <c r="C194" s="675"/>
      <c r="D194" s="350" t="s">
        <v>1271</v>
      </c>
      <c r="E194" s="453">
        <v>4361066694.6227007</v>
      </c>
      <c r="F194" s="453">
        <v>4203142084.9454317</v>
      </c>
      <c r="G194" s="453">
        <v>3887292865.5908947</v>
      </c>
    </row>
    <row r="195" spans="1:7" x14ac:dyDescent="0.25">
      <c r="A195" s="675"/>
      <c r="B195" s="675"/>
      <c r="C195" s="675"/>
      <c r="D195" s="680" t="s">
        <v>1304</v>
      </c>
      <c r="E195" s="681"/>
      <c r="F195" s="681"/>
      <c r="G195" s="681"/>
    </row>
    <row r="196" spans="1:7" ht="14.25" customHeight="1" x14ac:dyDescent="0.25">
      <c r="A196" s="675"/>
      <c r="B196" s="675"/>
      <c r="C196" s="675"/>
      <c r="D196" s="682" t="s">
        <v>1344</v>
      </c>
      <c r="E196" s="683"/>
      <c r="F196" s="683"/>
      <c r="G196" s="441" t="s">
        <v>1140</v>
      </c>
    </row>
    <row r="197" spans="1:7" x14ac:dyDescent="0.25">
      <c r="A197" s="675"/>
      <c r="B197" s="675"/>
      <c r="C197" s="675"/>
      <c r="D197" s="445"/>
      <c r="E197" s="450">
        <v>2030</v>
      </c>
      <c r="F197" s="450">
        <v>2050</v>
      </c>
      <c r="G197" s="450">
        <v>2100</v>
      </c>
    </row>
    <row r="198" spans="1:7" x14ac:dyDescent="0.25">
      <c r="A198" s="675"/>
      <c r="B198" s="675"/>
      <c r="C198" s="675"/>
      <c r="D198" s="445" t="s">
        <v>1269</v>
      </c>
      <c r="E198" s="454">
        <v>0.54212286640617935</v>
      </c>
      <c r="F198" s="454">
        <v>0.45652451907888791</v>
      </c>
      <c r="G198" s="454">
        <v>0.28532782442430493</v>
      </c>
    </row>
    <row r="199" spans="1:7" x14ac:dyDescent="0.25">
      <c r="A199" s="675"/>
      <c r="B199" s="675"/>
      <c r="C199" s="675"/>
      <c r="D199" s="444" t="s">
        <v>1270</v>
      </c>
      <c r="E199" s="455">
        <v>0.5985889332030897</v>
      </c>
      <c r="F199" s="455">
        <v>0.55578975953944398</v>
      </c>
      <c r="G199" s="455">
        <v>0.47019141221215249</v>
      </c>
    </row>
    <row r="200" spans="1:7" x14ac:dyDescent="0.25">
      <c r="A200" s="675"/>
      <c r="B200" s="675"/>
      <c r="C200" s="675"/>
      <c r="D200" s="350" t="s">
        <v>1271</v>
      </c>
      <c r="E200" s="456">
        <v>0.62682196660154488</v>
      </c>
      <c r="F200" s="456">
        <v>0.60542237976972202</v>
      </c>
      <c r="G200" s="456">
        <v>0.5626232061060763</v>
      </c>
    </row>
    <row r="201" spans="1:7" x14ac:dyDescent="0.25">
      <c r="A201" s="675"/>
      <c r="B201" s="675"/>
      <c r="C201" s="675"/>
      <c r="D201" s="680" t="s">
        <v>1303</v>
      </c>
      <c r="E201" s="681"/>
      <c r="F201" s="681"/>
      <c r="G201" s="681"/>
    </row>
    <row r="202" spans="1:7" ht="14.25" customHeight="1" x14ac:dyDescent="0.25">
      <c r="A202" s="675"/>
      <c r="B202" s="675"/>
      <c r="C202" s="675"/>
      <c r="D202" s="682" t="s">
        <v>1345</v>
      </c>
      <c r="E202" s="683"/>
      <c r="F202" s="683"/>
      <c r="G202" s="441" t="s">
        <v>1140</v>
      </c>
    </row>
    <row r="203" spans="1:7" x14ac:dyDescent="0.25">
      <c r="A203" s="675"/>
      <c r="B203" s="675"/>
      <c r="C203" s="675"/>
      <c r="D203" s="445"/>
      <c r="E203" s="450">
        <v>2030</v>
      </c>
      <c r="F203" s="450">
        <v>2050</v>
      </c>
      <c r="G203" s="450">
        <v>2100</v>
      </c>
    </row>
    <row r="204" spans="1:7" x14ac:dyDescent="0.25">
      <c r="A204" s="675"/>
      <c r="B204" s="675"/>
      <c r="C204" s="675"/>
      <c r="D204" s="445" t="s">
        <v>1269</v>
      </c>
      <c r="E204" s="454">
        <v>0.74892122332808941</v>
      </c>
      <c r="F204" s="454">
        <v>0.63067050385523316</v>
      </c>
      <c r="G204" s="454">
        <v>0.39416906490952075</v>
      </c>
    </row>
    <row r="205" spans="1:7" x14ac:dyDescent="0.25">
      <c r="A205" s="675"/>
      <c r="B205" s="675"/>
      <c r="C205" s="675"/>
      <c r="D205" s="444" t="s">
        <v>1270</v>
      </c>
      <c r="E205" s="455">
        <v>0.84824161166404477</v>
      </c>
      <c r="F205" s="455">
        <v>0.78911625192761659</v>
      </c>
      <c r="G205" s="455">
        <v>0.67086553245476033</v>
      </c>
    </row>
    <row r="206" spans="1:7" x14ac:dyDescent="0.25">
      <c r="A206" s="675"/>
      <c r="B206" s="675"/>
      <c r="C206" s="675"/>
      <c r="D206" s="350" t="s">
        <v>1271</v>
      </c>
      <c r="E206" s="456">
        <v>0.89790180583202239</v>
      </c>
      <c r="F206" s="456">
        <v>0.86833912596380824</v>
      </c>
      <c r="G206" s="456">
        <v>0.80921376622738017</v>
      </c>
    </row>
    <row r="207" spans="1:7" x14ac:dyDescent="0.25">
      <c r="A207" s="675"/>
      <c r="B207" s="675"/>
      <c r="C207" s="675"/>
      <c r="D207" s="680" t="s">
        <v>1302</v>
      </c>
      <c r="E207" s="681"/>
      <c r="F207" s="681"/>
      <c r="G207" s="681"/>
    </row>
    <row r="208" spans="1:7" ht="14.25" customHeight="1" x14ac:dyDescent="0.25">
      <c r="A208" s="675"/>
      <c r="B208" s="675"/>
      <c r="C208" s="675"/>
      <c r="D208" s="682" t="s">
        <v>1346</v>
      </c>
      <c r="E208" s="683"/>
      <c r="F208" s="683"/>
      <c r="G208" s="441" t="s">
        <v>1140</v>
      </c>
    </row>
    <row r="209" spans="1:7" x14ac:dyDescent="0.25">
      <c r="A209" s="675"/>
      <c r="B209" s="675"/>
      <c r="C209" s="675"/>
      <c r="D209" s="445"/>
      <c r="E209" s="450">
        <v>2030</v>
      </c>
      <c r="F209" s="450">
        <v>2050</v>
      </c>
      <c r="G209" s="450">
        <v>2100</v>
      </c>
    </row>
    <row r="210" spans="1:7" x14ac:dyDescent="0.25">
      <c r="A210" s="675"/>
      <c r="B210" s="675"/>
      <c r="C210" s="675"/>
      <c r="D210" s="445" t="s">
        <v>1269</v>
      </c>
      <c r="E210" s="451">
        <v>5526886701.2530146</v>
      </c>
      <c r="F210" s="451">
        <v>4654220380.0025387</v>
      </c>
      <c r="G210" s="451">
        <v>2908887737.5015864</v>
      </c>
    </row>
    <row r="211" spans="1:7" x14ac:dyDescent="0.25">
      <c r="A211" s="675"/>
      <c r="B211" s="675"/>
      <c r="C211" s="675"/>
      <c r="D211" s="444" t="s">
        <v>1270</v>
      </c>
      <c r="E211" s="452">
        <v>6004538350.6265068</v>
      </c>
      <c r="F211" s="452">
        <v>5568205190.0012693</v>
      </c>
      <c r="G211" s="452">
        <v>4695538868.7507935</v>
      </c>
    </row>
    <row r="212" spans="1:7" x14ac:dyDescent="0.25">
      <c r="A212" s="675"/>
      <c r="B212" s="675"/>
      <c r="C212" s="675"/>
      <c r="D212" s="350" t="s">
        <v>1271</v>
      </c>
      <c r="E212" s="453">
        <v>6243364175.3132534</v>
      </c>
      <c r="F212" s="453">
        <v>6025197595.0006351</v>
      </c>
      <c r="G212" s="453">
        <v>5588864434.3753967</v>
      </c>
    </row>
    <row r="213" spans="1:7" x14ac:dyDescent="0.25">
      <c r="A213" s="675"/>
      <c r="B213" s="675"/>
      <c r="C213" s="675"/>
      <c r="D213" s="680" t="s">
        <v>1301</v>
      </c>
      <c r="E213" s="681"/>
      <c r="F213" s="681"/>
      <c r="G213" s="681"/>
    </row>
    <row r="214" spans="1:7" ht="14.25" customHeight="1" x14ac:dyDescent="0.25">
      <c r="A214" s="675"/>
      <c r="B214" s="675"/>
      <c r="C214" s="675"/>
      <c r="D214" s="682" t="s">
        <v>1347</v>
      </c>
      <c r="E214" s="683"/>
      <c r="F214" s="683"/>
      <c r="G214" s="441" t="s">
        <v>1140</v>
      </c>
    </row>
    <row r="215" spans="1:7" x14ac:dyDescent="0.25">
      <c r="A215" s="675"/>
      <c r="B215" s="675"/>
      <c r="C215" s="675"/>
      <c r="D215" s="445"/>
      <c r="E215" s="450">
        <v>2030</v>
      </c>
      <c r="F215" s="450">
        <v>2050</v>
      </c>
      <c r="G215" s="450">
        <v>2100</v>
      </c>
    </row>
    <row r="216" spans="1:7" x14ac:dyDescent="0.25">
      <c r="A216" s="675"/>
      <c r="B216" s="675"/>
      <c r="C216" s="675"/>
      <c r="D216" s="445" t="s">
        <v>1269</v>
      </c>
      <c r="E216" s="454">
        <v>4.3129999999999997</v>
      </c>
      <c r="F216" s="454">
        <v>3.6320000000000001</v>
      </c>
      <c r="G216" s="454">
        <v>2.27</v>
      </c>
    </row>
    <row r="217" spans="1:7" x14ac:dyDescent="0.25">
      <c r="A217" s="675"/>
      <c r="B217" s="675"/>
      <c r="C217" s="675"/>
      <c r="D217" s="444" t="s">
        <v>1270</v>
      </c>
      <c r="E217" s="455">
        <v>4.589315</v>
      </c>
      <c r="F217" s="455">
        <v>4.2488150000000005</v>
      </c>
      <c r="G217" s="455">
        <v>3.5678150000000004</v>
      </c>
    </row>
    <row r="218" spans="1:7" x14ac:dyDescent="0.25">
      <c r="A218" s="675"/>
      <c r="B218" s="675"/>
      <c r="C218" s="675"/>
      <c r="D218" s="350" t="s">
        <v>1271</v>
      </c>
      <c r="E218" s="456">
        <v>4.7274725000000002</v>
      </c>
      <c r="F218" s="456">
        <v>4.5572225</v>
      </c>
      <c r="G218" s="456">
        <v>4.2167225000000004</v>
      </c>
    </row>
    <row r="219" spans="1:7" x14ac:dyDescent="0.25">
      <c r="A219" s="675"/>
      <c r="B219" s="675"/>
      <c r="C219" s="675"/>
      <c r="D219" s="680" t="s">
        <v>1300</v>
      </c>
      <c r="E219" s="681"/>
      <c r="F219" s="681"/>
      <c r="G219" s="681"/>
    </row>
    <row r="220" spans="1:7" ht="14.25" customHeight="1" x14ac:dyDescent="0.25">
      <c r="A220" s="675"/>
      <c r="B220" s="675"/>
      <c r="C220" s="675"/>
      <c r="D220" s="682" t="s">
        <v>1348</v>
      </c>
      <c r="E220" s="683"/>
      <c r="F220" s="683"/>
      <c r="G220" s="441" t="s">
        <v>1140</v>
      </c>
    </row>
    <row r="221" spans="1:7" x14ac:dyDescent="0.25">
      <c r="A221" s="675"/>
      <c r="B221" s="675"/>
      <c r="C221" s="675"/>
      <c r="D221" s="445"/>
      <c r="E221" s="450">
        <v>2030</v>
      </c>
      <c r="F221" s="450">
        <v>2050</v>
      </c>
      <c r="G221" s="450">
        <v>2100</v>
      </c>
    </row>
    <row r="222" spans="1:7" x14ac:dyDescent="0.25">
      <c r="A222" s="675"/>
      <c r="B222" s="675"/>
      <c r="C222" s="675"/>
      <c r="D222" s="445" t="s">
        <v>1269</v>
      </c>
      <c r="E222" s="454">
        <v>3.4871799156758199</v>
      </c>
      <c r="F222" s="454">
        <v>2.4908427969112998</v>
      </c>
      <c r="G222" s="454">
        <v>1.4945056781467803</v>
      </c>
    </row>
    <row r="223" spans="1:7" x14ac:dyDescent="0.25">
      <c r="A223" s="675"/>
      <c r="B223" s="675"/>
      <c r="C223" s="675"/>
      <c r="D223" s="444" t="s">
        <v>1270</v>
      </c>
      <c r="E223" s="455">
        <v>3.9896749578379098</v>
      </c>
      <c r="F223" s="455">
        <v>3.49150639845565</v>
      </c>
      <c r="G223" s="455">
        <v>2.9933378390733898</v>
      </c>
    </row>
    <row r="224" spans="1:7" x14ac:dyDescent="0.25">
      <c r="A224" s="675"/>
      <c r="B224" s="675"/>
      <c r="C224" s="675"/>
      <c r="D224" s="350" t="s">
        <v>1271</v>
      </c>
      <c r="E224" s="456">
        <v>4.2409224789189546</v>
      </c>
      <c r="F224" s="456">
        <v>3.9918381992278249</v>
      </c>
      <c r="G224" s="456">
        <v>3.7427539195366948</v>
      </c>
    </row>
    <row r="225" spans="1:7" x14ac:dyDescent="0.25">
      <c r="A225" s="675"/>
      <c r="B225" s="675"/>
      <c r="C225" s="678" t="s">
        <v>661</v>
      </c>
      <c r="D225" s="680" t="s">
        <v>1314</v>
      </c>
      <c r="E225" s="681"/>
      <c r="F225" s="681"/>
      <c r="G225" s="681"/>
    </row>
    <row r="226" spans="1:7" ht="14.25" customHeight="1" x14ac:dyDescent="0.25">
      <c r="A226" s="675"/>
      <c r="B226" s="675"/>
      <c r="C226" s="678"/>
      <c r="D226" s="682" t="s">
        <v>1349</v>
      </c>
      <c r="E226" s="683"/>
      <c r="F226" s="683"/>
      <c r="G226" s="441" t="s">
        <v>985</v>
      </c>
    </row>
    <row r="227" spans="1:7" x14ac:dyDescent="0.25">
      <c r="A227" s="675"/>
      <c r="B227" s="675"/>
      <c r="C227" s="678"/>
      <c r="D227" s="445"/>
      <c r="E227" s="450">
        <v>2030</v>
      </c>
      <c r="F227" s="450">
        <v>2050</v>
      </c>
      <c r="G227" s="450">
        <v>2100</v>
      </c>
    </row>
    <row r="228" spans="1:7" x14ac:dyDescent="0.25">
      <c r="A228" s="675"/>
      <c r="B228" s="675"/>
      <c r="C228" s="678"/>
      <c r="D228" s="445" t="s">
        <v>1269</v>
      </c>
      <c r="E228" s="454">
        <v>2.9313248999999999</v>
      </c>
      <c r="F228" s="454">
        <v>3.125</v>
      </c>
      <c r="G228" s="454">
        <v>2.637</v>
      </c>
    </row>
    <row r="229" spans="1:7" x14ac:dyDescent="0.25">
      <c r="A229" s="675"/>
      <c r="B229" s="675"/>
      <c r="C229" s="678"/>
      <c r="D229" s="444" t="s">
        <v>1270</v>
      </c>
      <c r="E229" s="455">
        <v>3.0217489</v>
      </c>
      <c r="F229" s="455">
        <v>3.5979999999999999</v>
      </c>
      <c r="G229" s="455">
        <v>4.2709999999999999</v>
      </c>
    </row>
    <row r="230" spans="1:7" x14ac:dyDescent="0.25">
      <c r="A230" s="675"/>
      <c r="B230" s="675"/>
      <c r="C230" s="678"/>
      <c r="D230" s="350" t="s">
        <v>1271</v>
      </c>
      <c r="E230" s="456">
        <v>3.0169999999999999</v>
      </c>
      <c r="F230" s="456">
        <v>3.9220000000000002</v>
      </c>
      <c r="G230" s="456">
        <v>6.5609999999999999</v>
      </c>
    </row>
    <row r="231" spans="1:7" x14ac:dyDescent="0.25">
      <c r="A231" s="675"/>
      <c r="B231" s="675"/>
      <c r="C231" s="678"/>
      <c r="D231" s="680" t="s">
        <v>1313</v>
      </c>
      <c r="E231" s="681" t="s">
        <v>498</v>
      </c>
      <c r="F231" s="681"/>
      <c r="G231" s="681"/>
    </row>
    <row r="232" spans="1:7" ht="14.25" customHeight="1" x14ac:dyDescent="0.25">
      <c r="A232" s="675"/>
      <c r="B232" s="675"/>
      <c r="C232" s="678"/>
      <c r="D232" s="682" t="s">
        <v>1350</v>
      </c>
      <c r="E232" s="683"/>
      <c r="F232" s="683"/>
      <c r="G232" s="441" t="s">
        <v>985</v>
      </c>
    </row>
    <row r="233" spans="1:7" x14ac:dyDescent="0.25">
      <c r="A233" s="675"/>
      <c r="B233" s="675"/>
      <c r="C233" s="678"/>
      <c r="D233" s="445"/>
      <c r="E233" s="450">
        <v>2030</v>
      </c>
      <c r="F233" s="450">
        <v>2050</v>
      </c>
      <c r="G233" s="450">
        <v>2100</v>
      </c>
    </row>
    <row r="234" spans="1:7" x14ac:dyDescent="0.25">
      <c r="A234" s="675"/>
      <c r="B234" s="675"/>
      <c r="C234" s="678"/>
      <c r="D234" s="445" t="s">
        <v>1269</v>
      </c>
      <c r="E234" s="454">
        <v>2.4343537</v>
      </c>
      <c r="F234" s="454">
        <v>2.7229999999999999</v>
      </c>
      <c r="G234" s="454">
        <v>2.38</v>
      </c>
    </row>
    <row r="235" spans="1:7" x14ac:dyDescent="0.25">
      <c r="A235" s="675"/>
      <c r="B235" s="675"/>
      <c r="C235" s="678"/>
      <c r="D235" s="444" t="s">
        <v>1270</v>
      </c>
      <c r="E235" s="455">
        <v>2.4919891000000001</v>
      </c>
      <c r="F235" s="455">
        <v>3.0819999999999999</v>
      </c>
      <c r="G235" s="455">
        <v>3.802</v>
      </c>
    </row>
    <row r="236" spans="1:7" x14ac:dyDescent="0.25">
      <c r="A236" s="675"/>
      <c r="B236" s="675"/>
      <c r="C236" s="678"/>
      <c r="D236" s="350" t="s">
        <v>1271</v>
      </c>
      <c r="E236" s="456">
        <v>2.5009999999999999</v>
      </c>
      <c r="F236" s="456">
        <v>3.28</v>
      </c>
      <c r="G236" s="456">
        <v>5.6079999999999997</v>
      </c>
    </row>
    <row r="237" spans="1:7" x14ac:dyDescent="0.25">
      <c r="A237" s="675"/>
      <c r="B237" s="675"/>
      <c r="C237" s="675" t="s">
        <v>1027</v>
      </c>
      <c r="D237" s="680" t="s">
        <v>1312</v>
      </c>
      <c r="E237" s="681"/>
      <c r="F237" s="681"/>
      <c r="G237" s="681"/>
    </row>
    <row r="238" spans="1:7" ht="14.25" customHeight="1" x14ac:dyDescent="0.25">
      <c r="A238" s="675"/>
      <c r="B238" s="675"/>
      <c r="C238" s="675"/>
      <c r="D238" s="682" t="s">
        <v>1351</v>
      </c>
      <c r="E238" s="683"/>
      <c r="F238" s="683"/>
      <c r="G238" s="441" t="s">
        <v>985</v>
      </c>
    </row>
    <row r="239" spans="1:7" x14ac:dyDescent="0.25">
      <c r="A239" s="675"/>
      <c r="B239" s="675"/>
      <c r="C239" s="675"/>
      <c r="D239" s="445"/>
      <c r="E239" s="450">
        <v>2030</v>
      </c>
      <c r="F239" s="450">
        <v>2050</v>
      </c>
      <c r="G239" s="450">
        <v>2100</v>
      </c>
    </row>
    <row r="240" spans="1:7" x14ac:dyDescent="0.25">
      <c r="A240" s="675"/>
      <c r="B240" s="675"/>
      <c r="C240" s="675"/>
      <c r="D240" s="445" t="s">
        <v>1269</v>
      </c>
      <c r="E240" s="454">
        <v>1.4725360000000001</v>
      </c>
      <c r="F240" s="454">
        <v>1.7589999999999999</v>
      </c>
      <c r="G240" s="454">
        <v>1.7609999999999999</v>
      </c>
    </row>
    <row r="241" spans="1:7" x14ac:dyDescent="0.25">
      <c r="A241" s="675"/>
      <c r="B241" s="675"/>
      <c r="C241" s="675"/>
      <c r="D241" s="444" t="s">
        <v>1270</v>
      </c>
      <c r="E241" s="455">
        <v>1.4947785</v>
      </c>
      <c r="F241" s="455">
        <v>1.9359999999999999</v>
      </c>
      <c r="G241" s="455">
        <v>2.653</v>
      </c>
    </row>
    <row r="242" spans="1:7" x14ac:dyDescent="0.25">
      <c r="A242" s="679"/>
      <c r="B242" s="679"/>
      <c r="C242" s="679"/>
      <c r="D242" s="350" t="s">
        <v>1271</v>
      </c>
      <c r="E242" s="456">
        <v>1.4830000000000001</v>
      </c>
      <c r="F242" s="456">
        <v>2.0529999999999999</v>
      </c>
      <c r="G242" s="456">
        <v>3.7629999999999999</v>
      </c>
    </row>
    <row r="243" spans="1:7" x14ac:dyDescent="0.25">
      <c r="A243" s="676" t="s">
        <v>1273</v>
      </c>
      <c r="B243" s="676"/>
      <c r="C243" s="676"/>
      <c r="D243" s="676"/>
      <c r="E243" s="676"/>
      <c r="F243" s="676"/>
      <c r="G243" s="676"/>
    </row>
    <row r="244" spans="1:7" x14ac:dyDescent="0.25">
      <c r="A244" s="677" t="s">
        <v>501</v>
      </c>
      <c r="B244" s="677" t="s">
        <v>1263</v>
      </c>
      <c r="C244" s="677" t="s">
        <v>1030</v>
      </c>
      <c r="D244" s="680" t="s">
        <v>1299</v>
      </c>
      <c r="E244" s="681"/>
      <c r="F244" s="681"/>
      <c r="G244" s="681"/>
    </row>
    <row r="245" spans="1:7" ht="14.25" customHeight="1" x14ac:dyDescent="0.25">
      <c r="A245" s="678"/>
      <c r="B245" s="678"/>
      <c r="C245" s="678"/>
      <c r="D245" s="682" t="s">
        <v>1352</v>
      </c>
      <c r="E245" s="683"/>
      <c r="F245" s="683"/>
      <c r="G245" s="441" t="s">
        <v>1140</v>
      </c>
    </row>
    <row r="246" spans="1:7" x14ac:dyDescent="0.25">
      <c r="A246" s="678"/>
      <c r="B246" s="678"/>
      <c r="C246" s="678"/>
      <c r="D246" s="445"/>
      <c r="E246" s="450">
        <v>2030</v>
      </c>
      <c r="F246" s="450">
        <v>2050</v>
      </c>
      <c r="G246" s="450">
        <v>2100</v>
      </c>
    </row>
    <row r="247" spans="1:7" x14ac:dyDescent="0.25">
      <c r="A247" s="678"/>
      <c r="B247" s="678"/>
      <c r="C247" s="678"/>
      <c r="D247" s="445" t="s">
        <v>1269</v>
      </c>
      <c r="E247" s="454">
        <v>32.896362913775434</v>
      </c>
      <c r="F247" s="454">
        <v>35.355904066207245</v>
      </c>
      <c r="G247" s="454">
        <v>39.967543727016881</v>
      </c>
    </row>
    <row r="248" spans="1:7" x14ac:dyDescent="0.25">
      <c r="A248" s="678"/>
      <c r="B248" s="678"/>
      <c r="C248" s="678"/>
      <c r="D248" s="444" t="s">
        <v>1270</v>
      </c>
      <c r="E248" s="455">
        <v>31.466931456887718</v>
      </c>
      <c r="F248" s="455">
        <v>32.69670203310362</v>
      </c>
      <c r="G248" s="455">
        <v>35.002521863508441</v>
      </c>
    </row>
    <row r="249" spans="1:7" x14ac:dyDescent="0.25">
      <c r="A249" s="678"/>
      <c r="B249" s="678"/>
      <c r="C249" s="678"/>
      <c r="D249" s="447" t="s">
        <v>1271</v>
      </c>
      <c r="E249" s="456">
        <v>30.752215728443858</v>
      </c>
      <c r="F249" s="456">
        <v>31.367101016551814</v>
      </c>
      <c r="G249" s="456">
        <v>32.520010931754221</v>
      </c>
    </row>
    <row r="250" spans="1:7" x14ac:dyDescent="0.25">
      <c r="A250" s="678"/>
      <c r="B250" s="678" t="s">
        <v>1264</v>
      </c>
      <c r="C250" s="678"/>
      <c r="D250" s="680" t="s">
        <v>1298</v>
      </c>
      <c r="E250" s="681"/>
      <c r="F250" s="681"/>
      <c r="G250" s="681"/>
    </row>
    <row r="251" spans="1:7" ht="14.25" customHeight="1" x14ac:dyDescent="0.25">
      <c r="A251" s="678"/>
      <c r="B251" s="678"/>
      <c r="C251" s="678"/>
      <c r="D251" s="682" t="s">
        <v>1353</v>
      </c>
      <c r="E251" s="683"/>
      <c r="F251" s="683"/>
      <c r="G251" s="441" t="s">
        <v>1140</v>
      </c>
    </row>
    <row r="252" spans="1:7" x14ac:dyDescent="0.25">
      <c r="A252" s="678"/>
      <c r="B252" s="678"/>
      <c r="C252" s="678"/>
      <c r="D252" s="445"/>
      <c r="E252" s="450">
        <v>2030</v>
      </c>
      <c r="F252" s="450">
        <v>2050</v>
      </c>
      <c r="G252" s="450">
        <v>2100</v>
      </c>
    </row>
    <row r="253" spans="1:7" x14ac:dyDescent="0.25">
      <c r="A253" s="678"/>
      <c r="B253" s="678"/>
      <c r="C253" s="678"/>
      <c r="D253" s="445" t="s">
        <v>1269</v>
      </c>
      <c r="E253" s="451">
        <v>4067.5135599999999</v>
      </c>
      <c r="F253" s="451">
        <v>4437.2875199999999</v>
      </c>
      <c r="G253" s="451">
        <v>4807.0614800000003</v>
      </c>
    </row>
    <row r="254" spans="1:7" x14ac:dyDescent="0.25">
      <c r="A254" s="678"/>
      <c r="B254" s="678"/>
      <c r="C254" s="678"/>
      <c r="D254" s="444" t="s">
        <v>1270</v>
      </c>
      <c r="E254" s="452">
        <v>3971.7767800000001</v>
      </c>
      <c r="F254" s="452">
        <v>4156.6637599999995</v>
      </c>
      <c r="G254" s="452">
        <v>4341.5507400000006</v>
      </c>
    </row>
    <row r="255" spans="1:7" x14ac:dyDescent="0.25">
      <c r="A255" s="678"/>
      <c r="B255" s="678"/>
      <c r="C255" s="678"/>
      <c r="D255" s="447" t="s">
        <v>1271</v>
      </c>
      <c r="E255" s="453">
        <v>3923.9083900000001</v>
      </c>
      <c r="F255" s="453">
        <v>4016.3518800000002</v>
      </c>
      <c r="G255" s="453">
        <v>4108.7953699999998</v>
      </c>
    </row>
    <row r="256" spans="1:7" x14ac:dyDescent="0.25">
      <c r="A256" s="678"/>
      <c r="B256" s="678" t="s">
        <v>1265</v>
      </c>
      <c r="C256" s="678" t="s">
        <v>938</v>
      </c>
      <c r="D256" s="680" t="s">
        <v>1296</v>
      </c>
      <c r="E256" s="681" t="s">
        <v>473</v>
      </c>
      <c r="F256" s="681"/>
      <c r="G256" s="681"/>
    </row>
    <row r="257" spans="1:7" ht="14.25" customHeight="1" x14ac:dyDescent="0.25">
      <c r="A257" s="678"/>
      <c r="B257" s="678"/>
      <c r="C257" s="678"/>
      <c r="D257" s="682" t="s">
        <v>1354</v>
      </c>
      <c r="E257" s="683"/>
      <c r="F257" s="683"/>
      <c r="G257" s="441" t="s">
        <v>982</v>
      </c>
    </row>
    <row r="258" spans="1:7" x14ac:dyDescent="0.25">
      <c r="A258" s="678"/>
      <c r="B258" s="678"/>
      <c r="C258" s="678"/>
      <c r="D258" s="445"/>
      <c r="E258" s="450">
        <v>2030</v>
      </c>
      <c r="F258" s="450">
        <v>2050</v>
      </c>
      <c r="G258" s="450">
        <v>2100</v>
      </c>
    </row>
    <row r="259" spans="1:7" x14ac:dyDescent="0.25">
      <c r="A259" s="678"/>
      <c r="B259" s="678"/>
      <c r="C259" s="678"/>
      <c r="D259" s="445" t="s">
        <v>1269</v>
      </c>
      <c r="E259" s="454">
        <v>50</v>
      </c>
      <c r="F259" s="454">
        <v>60</v>
      </c>
      <c r="G259" s="454">
        <v>70</v>
      </c>
    </row>
    <row r="260" spans="1:7" x14ac:dyDescent="0.25">
      <c r="A260" s="678"/>
      <c r="B260" s="678"/>
      <c r="C260" s="678"/>
      <c r="D260" s="444" t="s">
        <v>1270</v>
      </c>
      <c r="E260" s="455">
        <v>46.164299999999997</v>
      </c>
      <c r="F260" s="455">
        <v>51.164299999999997</v>
      </c>
      <c r="G260" s="455">
        <v>56.164299999999997</v>
      </c>
    </row>
    <row r="261" spans="1:7" x14ac:dyDescent="0.25">
      <c r="A261" s="679"/>
      <c r="B261" s="679"/>
      <c r="C261" s="679"/>
      <c r="D261" s="444" t="s">
        <v>1271</v>
      </c>
      <c r="E261" s="454">
        <v>44.246450000000003</v>
      </c>
      <c r="F261" s="454">
        <v>46.746450000000003</v>
      </c>
      <c r="G261" s="454">
        <v>49.246450000000003</v>
      </c>
    </row>
  </sheetData>
  <mergeCells count="138">
    <mergeCell ref="A64:G64"/>
    <mergeCell ref="D3:G3"/>
    <mergeCell ref="C3:C8"/>
    <mergeCell ref="A243:G243"/>
    <mergeCell ref="C237:C242"/>
    <mergeCell ref="A244:A261"/>
    <mergeCell ref="C244:C255"/>
    <mergeCell ref="D244:G244"/>
    <mergeCell ref="D250:G250"/>
    <mergeCell ref="D256:G256"/>
    <mergeCell ref="B250:B255"/>
    <mergeCell ref="C256:C261"/>
    <mergeCell ref="B256:B261"/>
    <mergeCell ref="D257:F257"/>
    <mergeCell ref="D245:F245"/>
    <mergeCell ref="D251:F251"/>
    <mergeCell ref="B244:B249"/>
    <mergeCell ref="D59:F59"/>
    <mergeCell ref="D183:G183"/>
    <mergeCell ref="D176:G176"/>
    <mergeCell ref="D66:F66"/>
    <mergeCell ref="D72:F72"/>
    <mergeCell ref="C77:C82"/>
    <mergeCell ref="B77:B82"/>
    <mergeCell ref="D1:G1"/>
    <mergeCell ref="D152:G152"/>
    <mergeCell ref="D145:G145"/>
    <mergeCell ref="D139:G139"/>
    <mergeCell ref="A46:A63"/>
    <mergeCell ref="D46:G46"/>
    <mergeCell ref="D52:G52"/>
    <mergeCell ref="D58:G58"/>
    <mergeCell ref="D65:G65"/>
    <mergeCell ref="D71:G71"/>
    <mergeCell ref="D77:G77"/>
    <mergeCell ref="A65:A82"/>
    <mergeCell ref="D120:G120"/>
    <mergeCell ref="D114:G114"/>
    <mergeCell ref="D108:G108"/>
    <mergeCell ref="B58:B63"/>
    <mergeCell ref="C58:C63"/>
    <mergeCell ref="D47:F47"/>
    <mergeCell ref="D53:F53"/>
    <mergeCell ref="C108:C131"/>
    <mergeCell ref="B46:B51"/>
    <mergeCell ref="B52:B57"/>
    <mergeCell ref="C46:C57"/>
    <mergeCell ref="C27:C32"/>
    <mergeCell ref="C152:C181"/>
    <mergeCell ref="B152:B181"/>
    <mergeCell ref="C65:C70"/>
    <mergeCell ref="C71:C76"/>
    <mergeCell ref="B65:B76"/>
    <mergeCell ref="D78:F78"/>
    <mergeCell ref="D85:F85"/>
    <mergeCell ref="C225:C236"/>
    <mergeCell ref="C183:C224"/>
    <mergeCell ref="D159:F159"/>
    <mergeCell ref="D115:F115"/>
    <mergeCell ref="D164:G164"/>
    <mergeCell ref="D158:G158"/>
    <mergeCell ref="B84:B131"/>
    <mergeCell ref="A151:G151"/>
    <mergeCell ref="A138:G138"/>
    <mergeCell ref="C132:C137"/>
    <mergeCell ref="B132:B137"/>
    <mergeCell ref="D132:G132"/>
    <mergeCell ref="D126:G126"/>
    <mergeCell ref="A83:G83"/>
    <mergeCell ref="D84:G84"/>
    <mergeCell ref="A139:A150"/>
    <mergeCell ref="A183:A242"/>
    <mergeCell ref="D237:G237"/>
    <mergeCell ref="D231:G231"/>
    <mergeCell ref="A182:G182"/>
    <mergeCell ref="D195:G195"/>
    <mergeCell ref="D213:G213"/>
    <mergeCell ref="D207:G207"/>
    <mergeCell ref="D201:G201"/>
    <mergeCell ref="D238:F238"/>
    <mergeCell ref="B183:B242"/>
    <mergeCell ref="D208:F208"/>
    <mergeCell ref="D226:F226"/>
    <mergeCell ref="D232:F232"/>
    <mergeCell ref="D225:G225"/>
    <mergeCell ref="D219:G219"/>
    <mergeCell ref="D214:F214"/>
    <mergeCell ref="D220:F220"/>
    <mergeCell ref="D189:G189"/>
    <mergeCell ref="D196:F196"/>
    <mergeCell ref="D190:F190"/>
    <mergeCell ref="D184:F184"/>
    <mergeCell ref="D202:F202"/>
    <mergeCell ref="A2:G2"/>
    <mergeCell ref="A45:G45"/>
    <mergeCell ref="D39:G39"/>
    <mergeCell ref="D33:G33"/>
    <mergeCell ref="D9:G9"/>
    <mergeCell ref="C9:C14"/>
    <mergeCell ref="D4:F4"/>
    <mergeCell ref="D10:F10"/>
    <mergeCell ref="D16:F16"/>
    <mergeCell ref="D28:F28"/>
    <mergeCell ref="D34:F34"/>
    <mergeCell ref="D40:F40"/>
    <mergeCell ref="D21:G21"/>
    <mergeCell ref="D27:G27"/>
    <mergeCell ref="D22:F22"/>
    <mergeCell ref="C33:C44"/>
    <mergeCell ref="B3:B8"/>
    <mergeCell ref="D15:G15"/>
    <mergeCell ref="C15:C26"/>
    <mergeCell ref="A3:A44"/>
    <mergeCell ref="B9:B44"/>
    <mergeCell ref="A152:A181"/>
    <mergeCell ref="D170:G170"/>
    <mergeCell ref="D121:F121"/>
    <mergeCell ref="D127:F127"/>
    <mergeCell ref="C139:C144"/>
    <mergeCell ref="B139:B144"/>
    <mergeCell ref="D133:F133"/>
    <mergeCell ref="D140:F140"/>
    <mergeCell ref="D109:F109"/>
    <mergeCell ref="D177:F177"/>
    <mergeCell ref="D171:F171"/>
    <mergeCell ref="B145:B150"/>
    <mergeCell ref="C145:C150"/>
    <mergeCell ref="A84:A137"/>
    <mergeCell ref="C84:C107"/>
    <mergeCell ref="D90:G90"/>
    <mergeCell ref="D91:F91"/>
    <mergeCell ref="D96:G96"/>
    <mergeCell ref="D97:F97"/>
    <mergeCell ref="D102:G102"/>
    <mergeCell ref="D103:F103"/>
    <mergeCell ref="D146:F146"/>
    <mergeCell ref="D153:F153"/>
    <mergeCell ref="D165:F165"/>
  </mergeCells>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666"/>
  <sheetViews>
    <sheetView tabSelected="1" zoomScale="70" zoomScaleNormal="70" workbookViewId="0">
      <selection activeCell="A15" sqref="A15"/>
    </sheetView>
  </sheetViews>
  <sheetFormatPr defaultColWidth="9" defaultRowHeight="15" x14ac:dyDescent="0.25"/>
  <cols>
    <col min="1" max="1" width="10.7109375" style="378" customWidth="1"/>
    <col min="2" max="2" width="50" style="440" customWidth="1"/>
    <col min="3" max="3" width="39.28515625" style="440" customWidth="1"/>
    <col min="4" max="4" width="33.42578125" style="440" customWidth="1"/>
    <col min="5" max="5" width="14" style="378" hidden="1" customWidth="1"/>
    <col min="6" max="6" width="10.7109375" style="378" hidden="1" customWidth="1"/>
    <col min="7" max="7" width="12.42578125" style="378" hidden="1" customWidth="1"/>
    <col min="8" max="8" width="18.140625" style="376" customWidth="1"/>
    <col min="9" max="9" width="14.7109375" style="376" customWidth="1"/>
    <col min="10" max="10" width="13.28515625" style="376" customWidth="1"/>
    <col min="11" max="11" width="11.42578125" style="376" customWidth="1"/>
    <col min="12" max="12" width="16.7109375" style="376" customWidth="1"/>
    <col min="13" max="13" width="12" style="376" hidden="1" customWidth="1"/>
    <col min="14" max="15" width="17.85546875" style="376" customWidth="1"/>
    <col min="16" max="16" width="19.7109375" customWidth="1"/>
    <col min="17" max="17" width="15" customWidth="1"/>
    <col min="18" max="18" width="18.7109375" style="355" hidden="1" customWidth="1"/>
    <col min="19" max="19" width="17.85546875" style="355" customWidth="1"/>
    <col min="20" max="20" width="25.85546875" style="355" customWidth="1"/>
    <col min="21" max="21" width="18.140625" customWidth="1"/>
    <col min="22" max="22" width="18.28515625" style="355" customWidth="1"/>
    <col min="23" max="23" width="18.7109375" style="355" hidden="1" customWidth="1"/>
    <col min="24" max="24" width="17.85546875" style="355" customWidth="1"/>
    <col min="25" max="25" width="25" style="355" customWidth="1"/>
    <col min="26" max="26" width="22.140625" customWidth="1"/>
    <col min="27" max="27" width="19.7109375" style="355" customWidth="1"/>
    <col min="28" max="28" width="81.7109375" style="355" customWidth="1"/>
    <col min="29" max="29" width="231" customWidth="1"/>
    <col min="30" max="30" width="86.7109375" style="355" customWidth="1"/>
    <col min="31" max="32" width="9" customWidth="1"/>
    <col min="33" max="33" width="34.85546875" style="376" customWidth="1"/>
    <col min="34" max="34" width="9" customWidth="1"/>
    <col min="35" max="35" width="14" style="376" customWidth="1"/>
    <col min="36" max="36" width="31.7109375" style="376" customWidth="1"/>
    <col min="37" max="37" width="56.140625" style="376" customWidth="1"/>
    <col min="38" max="38" width="19.5703125" style="360" customWidth="1"/>
    <col min="39" max="39" width="40.140625" style="360" customWidth="1"/>
    <col min="40" max="16384" width="9" style="360"/>
  </cols>
  <sheetData>
    <row r="1" spans="1:37" ht="60"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1146</v>
      </c>
      <c r="M1" s="423" t="s">
        <v>1155</v>
      </c>
      <c r="N1" s="423" t="s">
        <v>1147</v>
      </c>
      <c r="O1" s="423" t="s">
        <v>1145</v>
      </c>
      <c r="P1" s="423" t="s">
        <v>1432</v>
      </c>
      <c r="Q1" s="423" t="s">
        <v>1148</v>
      </c>
      <c r="R1" s="423" t="s">
        <v>1156</v>
      </c>
      <c r="S1" s="423" t="s">
        <v>1149</v>
      </c>
      <c r="T1" s="423" t="s">
        <v>1150</v>
      </c>
      <c r="U1" s="423" t="s">
        <v>1433</v>
      </c>
      <c r="V1" s="423" t="s">
        <v>1151</v>
      </c>
      <c r="W1" s="423" t="s">
        <v>1157</v>
      </c>
      <c r="X1" s="423" t="s">
        <v>1152</v>
      </c>
      <c r="Y1" s="423" t="s">
        <v>1153</v>
      </c>
      <c r="Z1" s="423" t="s">
        <v>1434</v>
      </c>
      <c r="AA1" s="423" t="s">
        <v>1158</v>
      </c>
      <c r="AB1" s="423" t="s">
        <v>907</v>
      </c>
      <c r="AC1" s="423" t="s">
        <v>664</v>
      </c>
      <c r="AD1" s="374" t="s">
        <v>907</v>
      </c>
      <c r="AE1" s="360"/>
      <c r="AF1" s="360"/>
      <c r="AG1" s="360"/>
      <c r="AH1" s="360"/>
      <c r="AI1" s="360"/>
      <c r="AJ1" s="360"/>
      <c r="AK1" s="360"/>
    </row>
    <row r="2" spans="1:37" s="386" customFormat="1" hidden="1" x14ac:dyDescent="0.25">
      <c r="A2" s="409"/>
      <c r="B2" s="406"/>
      <c r="C2" s="406"/>
      <c r="D2" s="406"/>
      <c r="E2" s="407">
        <v>2015</v>
      </c>
      <c r="F2" s="407">
        <v>2016</v>
      </c>
      <c r="G2" s="407">
        <v>2017</v>
      </c>
      <c r="H2" s="407"/>
      <c r="I2" s="407"/>
      <c r="J2" s="407"/>
      <c r="K2" s="407"/>
      <c r="L2" s="407"/>
      <c r="M2" s="407"/>
      <c r="N2" s="407"/>
      <c r="O2" s="407"/>
      <c r="P2" s="407"/>
      <c r="Q2" s="407"/>
      <c r="R2" s="407"/>
      <c r="S2" s="407"/>
      <c r="T2" s="407"/>
      <c r="U2" s="407"/>
      <c r="V2" s="407"/>
      <c r="W2" s="407"/>
      <c r="X2" s="407"/>
      <c r="Y2" s="407"/>
      <c r="Z2" s="407"/>
      <c r="AA2" s="407"/>
      <c r="AB2" s="407"/>
      <c r="AC2" s="413"/>
    </row>
    <row r="3" spans="1:37" x14ac:dyDescent="0.25">
      <c r="A3" s="422" t="s">
        <v>856</v>
      </c>
      <c r="B3" s="436" t="s">
        <v>999</v>
      </c>
      <c r="C3" s="436" t="s">
        <v>473</v>
      </c>
      <c r="D3" s="436" t="s">
        <v>904</v>
      </c>
      <c r="E3" s="420">
        <v>121</v>
      </c>
      <c r="F3" s="420">
        <v>122</v>
      </c>
      <c r="G3" s="420">
        <v>122</v>
      </c>
      <c r="H3" s="421">
        <v>2015</v>
      </c>
      <c r="I3" s="421">
        <v>121</v>
      </c>
      <c r="J3" s="421">
        <f>2015</f>
        <v>2015</v>
      </c>
      <c r="K3" s="504">
        <v>136.83000000000001</v>
      </c>
      <c r="L3" s="430">
        <v>100</v>
      </c>
      <c r="M3" s="430"/>
      <c r="N3" s="430">
        <v>90</v>
      </c>
      <c r="O3" s="430">
        <v>80</v>
      </c>
      <c r="P3" s="430">
        <v>70</v>
      </c>
      <c r="Q3" s="430">
        <v>100</v>
      </c>
      <c r="R3" s="430"/>
      <c r="S3" s="430">
        <v>95</v>
      </c>
      <c r="T3" s="430">
        <v>85</v>
      </c>
      <c r="U3" s="430">
        <v>75</v>
      </c>
      <c r="V3" s="430">
        <v>100</v>
      </c>
      <c r="W3" s="430"/>
      <c r="X3" s="430">
        <v>95</v>
      </c>
      <c r="Y3" s="430">
        <v>90</v>
      </c>
      <c r="Z3" s="430">
        <v>80</v>
      </c>
      <c r="AA3" s="421" t="s">
        <v>982</v>
      </c>
      <c r="AB3" s="421" t="s">
        <v>1558</v>
      </c>
      <c r="AC3" s="419" t="s">
        <v>864</v>
      </c>
      <c r="AD3" s="362"/>
      <c r="AE3" s="362"/>
      <c r="AF3" s="360"/>
      <c r="AG3" s="360"/>
      <c r="AH3" s="360"/>
      <c r="AI3" s="360"/>
      <c r="AJ3" s="360"/>
      <c r="AK3" s="360"/>
    </row>
    <row r="4" spans="1:37" hidden="1" x14ac:dyDescent="0.25">
      <c r="A4" s="389"/>
      <c r="B4" s="372"/>
      <c r="C4" s="372"/>
      <c r="D4" s="378" t="s">
        <v>808</v>
      </c>
      <c r="E4" s="379">
        <v>159</v>
      </c>
      <c r="F4" s="380">
        <v>160</v>
      </c>
      <c r="G4" s="381">
        <v>160</v>
      </c>
      <c r="H4" s="421"/>
      <c r="I4" s="375"/>
      <c r="J4" s="375"/>
      <c r="K4" s="375"/>
      <c r="L4" s="375"/>
      <c r="M4" s="375"/>
      <c r="N4" s="375"/>
      <c r="O4" s="375"/>
      <c r="P4" s="375"/>
      <c r="Q4" s="375"/>
      <c r="R4" s="375"/>
      <c r="S4" s="375"/>
      <c r="T4" s="375"/>
      <c r="U4" s="375"/>
      <c r="V4" s="375"/>
      <c r="W4" s="375"/>
      <c r="X4" s="375"/>
      <c r="Y4" s="375"/>
      <c r="Z4" s="375"/>
      <c r="AA4" s="375"/>
      <c r="AB4" s="375"/>
      <c r="AC4" s="399"/>
      <c r="AD4" s="362"/>
      <c r="AE4" s="362"/>
      <c r="AF4" s="360"/>
      <c r="AG4" s="360"/>
      <c r="AH4" s="360"/>
      <c r="AI4" s="360"/>
      <c r="AJ4" s="360"/>
      <c r="AK4" s="360"/>
    </row>
    <row r="5" spans="1:37" hidden="1" x14ac:dyDescent="0.25">
      <c r="A5" s="389"/>
      <c r="B5" s="372"/>
      <c r="C5" s="372"/>
      <c r="D5" s="378" t="s">
        <v>832</v>
      </c>
      <c r="E5" s="379">
        <v>158</v>
      </c>
      <c r="F5" s="380">
        <v>158</v>
      </c>
      <c r="G5" s="381">
        <v>157</v>
      </c>
      <c r="H5" s="421"/>
      <c r="I5" s="375"/>
      <c r="J5" s="375"/>
      <c r="K5" s="375"/>
      <c r="L5" s="375"/>
      <c r="M5" s="375"/>
      <c r="N5" s="375"/>
      <c r="O5" s="375"/>
      <c r="P5" s="375"/>
      <c r="Q5" s="375"/>
      <c r="R5" s="375"/>
      <c r="S5" s="375"/>
      <c r="T5" s="375"/>
      <c r="U5" s="375"/>
      <c r="V5" s="375"/>
      <c r="W5" s="375"/>
      <c r="X5" s="375"/>
      <c r="Y5" s="375"/>
      <c r="Z5" s="375"/>
      <c r="AA5" s="375"/>
      <c r="AB5" s="375"/>
      <c r="AC5" s="399"/>
      <c r="AD5" s="362"/>
      <c r="AE5" s="362"/>
      <c r="AF5" s="360"/>
      <c r="AG5" s="360"/>
      <c r="AH5" s="360"/>
      <c r="AI5" s="360"/>
      <c r="AJ5" s="360"/>
      <c r="AK5" s="360"/>
    </row>
    <row r="6" spans="1:37" hidden="1" x14ac:dyDescent="0.25">
      <c r="A6" s="389"/>
      <c r="B6" s="372"/>
      <c r="C6" s="372"/>
      <c r="D6" s="378" t="s">
        <v>857</v>
      </c>
      <c r="E6" s="379">
        <v>152</v>
      </c>
      <c r="F6" s="380">
        <v>153</v>
      </c>
      <c r="G6" s="381">
        <v>153</v>
      </c>
      <c r="H6" s="421"/>
      <c r="I6" s="375"/>
      <c r="J6" s="375"/>
      <c r="K6" s="375"/>
      <c r="L6" s="375"/>
      <c r="M6" s="375"/>
      <c r="N6" s="375"/>
      <c r="O6" s="375"/>
      <c r="P6" s="375"/>
      <c r="Q6" s="375"/>
      <c r="R6" s="375"/>
      <c r="S6" s="375"/>
      <c r="T6" s="375"/>
      <c r="U6" s="375"/>
      <c r="V6" s="375"/>
      <c r="W6" s="375"/>
      <c r="X6" s="375"/>
      <c r="Y6" s="375"/>
      <c r="Z6" s="375"/>
      <c r="AA6" s="375"/>
      <c r="AB6" s="375"/>
      <c r="AC6" s="399"/>
      <c r="AD6" s="362"/>
      <c r="AE6" s="362"/>
      <c r="AF6" s="360"/>
      <c r="AG6" s="360"/>
      <c r="AH6" s="360"/>
      <c r="AI6" s="360"/>
      <c r="AJ6" s="360"/>
      <c r="AK6" s="360"/>
    </row>
    <row r="7" spans="1:37" hidden="1" x14ac:dyDescent="0.25">
      <c r="A7" s="389"/>
      <c r="B7" s="372"/>
      <c r="C7" s="372"/>
      <c r="D7" s="378" t="s">
        <v>858</v>
      </c>
      <c r="E7" s="379">
        <v>148</v>
      </c>
      <c r="F7" s="380">
        <v>149</v>
      </c>
      <c r="G7" s="381">
        <v>150</v>
      </c>
      <c r="H7" s="421"/>
      <c r="I7" s="375"/>
      <c r="J7" s="375"/>
      <c r="K7" s="375"/>
      <c r="L7" s="375"/>
      <c r="M7" s="375"/>
      <c r="N7" s="375"/>
      <c r="O7" s="375"/>
      <c r="P7" s="375"/>
      <c r="Q7" s="375"/>
      <c r="R7" s="375"/>
      <c r="S7" s="375"/>
      <c r="T7" s="375"/>
      <c r="U7" s="375"/>
      <c r="V7" s="375"/>
      <c r="W7" s="375"/>
      <c r="X7" s="375"/>
      <c r="Y7" s="375"/>
      <c r="Z7" s="375"/>
      <c r="AA7" s="375"/>
      <c r="AB7" s="375"/>
      <c r="AC7" s="399"/>
      <c r="AD7" s="362"/>
      <c r="AE7" s="362"/>
      <c r="AF7" s="360"/>
      <c r="AG7" s="360"/>
      <c r="AH7" s="360"/>
      <c r="AI7" s="360"/>
      <c r="AJ7" s="360"/>
      <c r="AK7" s="360"/>
    </row>
    <row r="8" spans="1:37" hidden="1" x14ac:dyDescent="0.25">
      <c r="A8" s="389"/>
      <c r="B8" s="372"/>
      <c r="C8" s="372"/>
      <c r="D8" s="378" t="s">
        <v>859</v>
      </c>
      <c r="E8" s="379">
        <v>148</v>
      </c>
      <c r="F8" s="380">
        <v>148</v>
      </c>
      <c r="G8" s="381">
        <v>148</v>
      </c>
      <c r="H8" s="421"/>
      <c r="I8" s="375"/>
      <c r="J8" s="375"/>
      <c r="K8" s="375"/>
      <c r="L8" s="375"/>
      <c r="M8" s="375"/>
      <c r="N8" s="375"/>
      <c r="O8" s="375"/>
      <c r="P8" s="375"/>
      <c r="Q8" s="375"/>
      <c r="R8" s="375"/>
      <c r="S8" s="375"/>
      <c r="T8" s="375"/>
      <c r="U8" s="375"/>
      <c r="V8" s="375"/>
      <c r="W8" s="375"/>
      <c r="X8" s="375"/>
      <c r="Y8" s="375"/>
      <c r="Z8" s="375"/>
      <c r="AA8" s="375"/>
      <c r="AB8" s="375"/>
      <c r="AC8" s="399"/>
      <c r="AD8" s="362"/>
      <c r="AE8" s="362"/>
      <c r="AF8" s="360"/>
      <c r="AG8" s="360"/>
      <c r="AH8" s="360"/>
      <c r="AI8" s="360"/>
      <c r="AJ8" s="360"/>
      <c r="AK8" s="360"/>
    </row>
    <row r="9" spans="1:37" hidden="1" x14ac:dyDescent="0.25">
      <c r="A9" s="389"/>
      <c r="B9" s="372"/>
      <c r="C9" s="372"/>
      <c r="D9" s="378" t="s">
        <v>860</v>
      </c>
      <c r="E9" s="382">
        <v>81</v>
      </c>
      <c r="F9" s="383">
        <v>80</v>
      </c>
      <c r="G9" s="384">
        <v>81</v>
      </c>
      <c r="H9" s="421"/>
      <c r="I9" s="375"/>
      <c r="J9" s="375"/>
      <c r="K9" s="375"/>
      <c r="L9" s="375"/>
      <c r="M9" s="375"/>
      <c r="N9" s="375"/>
      <c r="O9" s="375"/>
      <c r="P9" s="375"/>
      <c r="Q9" s="375"/>
      <c r="R9" s="375"/>
      <c r="S9" s="375"/>
      <c r="T9" s="375"/>
      <c r="U9" s="375"/>
      <c r="V9" s="375"/>
      <c r="W9" s="375"/>
      <c r="X9" s="375"/>
      <c r="Y9" s="375"/>
      <c r="Z9" s="375"/>
      <c r="AA9" s="375"/>
      <c r="AB9" s="375"/>
      <c r="AC9" s="399"/>
      <c r="AD9" s="362"/>
      <c r="AE9" s="362"/>
      <c r="AF9" s="360"/>
      <c r="AG9" s="360"/>
      <c r="AH9" s="360"/>
      <c r="AI9" s="360"/>
      <c r="AJ9" s="360"/>
      <c r="AK9" s="360"/>
    </row>
    <row r="10" spans="1:37" hidden="1" x14ac:dyDescent="0.25">
      <c r="A10" s="389"/>
      <c r="B10" s="372"/>
      <c r="C10" s="372"/>
      <c r="D10" s="378" t="s">
        <v>861</v>
      </c>
      <c r="E10" s="382">
        <v>86</v>
      </c>
      <c r="F10" s="383">
        <v>85</v>
      </c>
      <c r="G10" s="384">
        <v>84</v>
      </c>
      <c r="H10" s="421"/>
      <c r="I10" s="375"/>
      <c r="J10" s="375"/>
      <c r="K10" s="375"/>
      <c r="L10" s="375"/>
      <c r="M10" s="375"/>
      <c r="N10" s="375"/>
      <c r="O10" s="375"/>
      <c r="P10" s="375"/>
      <c r="Q10" s="375"/>
      <c r="R10" s="375"/>
      <c r="S10" s="375"/>
      <c r="T10" s="375"/>
      <c r="U10" s="375"/>
      <c r="V10" s="375"/>
      <c r="W10" s="375"/>
      <c r="X10" s="375"/>
      <c r="Y10" s="375"/>
      <c r="Z10" s="375"/>
      <c r="AA10" s="375"/>
      <c r="AB10" s="375"/>
      <c r="AC10" s="399"/>
      <c r="AD10" s="362"/>
      <c r="AE10" s="362"/>
      <c r="AF10" s="360"/>
      <c r="AG10" s="360"/>
      <c r="AH10" s="360"/>
      <c r="AI10" s="360"/>
      <c r="AJ10" s="360"/>
      <c r="AK10" s="360"/>
    </row>
    <row r="11" spans="1:37" hidden="1" x14ac:dyDescent="0.25">
      <c r="A11" s="389"/>
      <c r="B11" s="372"/>
      <c r="C11" s="372"/>
      <c r="D11" s="378" t="s">
        <v>685</v>
      </c>
      <c r="E11" s="382">
        <v>86</v>
      </c>
      <c r="F11" s="383">
        <v>85</v>
      </c>
      <c r="G11" s="384">
        <v>85</v>
      </c>
      <c r="H11" s="421"/>
      <c r="I11" s="375"/>
      <c r="J11" s="375"/>
      <c r="K11" s="375"/>
      <c r="L11" s="375"/>
      <c r="M11" s="375"/>
      <c r="N11" s="375"/>
      <c r="O11" s="375"/>
      <c r="P11" s="375"/>
      <c r="Q11" s="375"/>
      <c r="R11" s="375"/>
      <c r="S11" s="375"/>
      <c r="T11" s="375"/>
      <c r="U11" s="375"/>
      <c r="V11" s="375"/>
      <c r="W11" s="375"/>
      <c r="X11" s="375"/>
      <c r="Y11" s="375"/>
      <c r="Z11" s="375"/>
      <c r="AA11" s="375"/>
      <c r="AB11" s="375"/>
      <c r="AC11" s="399"/>
      <c r="AD11" s="362"/>
      <c r="AE11" s="362"/>
      <c r="AF11" s="360"/>
      <c r="AG11" s="360"/>
      <c r="AH11" s="360"/>
      <c r="AI11" s="360"/>
      <c r="AJ11" s="360"/>
      <c r="AK11" s="360"/>
    </row>
    <row r="12" spans="1:37" hidden="1" x14ac:dyDescent="0.25">
      <c r="A12" s="389"/>
      <c r="B12" s="372"/>
      <c r="C12" s="372"/>
      <c r="D12" s="378" t="s">
        <v>862</v>
      </c>
      <c r="E12" s="382">
        <v>96</v>
      </c>
      <c r="F12" s="383">
        <v>92</v>
      </c>
      <c r="G12" s="384">
        <v>87</v>
      </c>
      <c r="H12" s="421"/>
      <c r="I12" s="375"/>
      <c r="J12" s="375"/>
      <c r="K12" s="375"/>
      <c r="L12" s="375"/>
      <c r="M12" s="375"/>
      <c r="N12" s="375"/>
      <c r="O12" s="375"/>
      <c r="P12" s="375"/>
      <c r="Q12" s="375"/>
      <c r="R12" s="375"/>
      <c r="S12" s="375"/>
      <c r="T12" s="375"/>
      <c r="U12" s="375"/>
      <c r="V12" s="375"/>
      <c r="W12" s="375"/>
      <c r="X12" s="375"/>
      <c r="Y12" s="375"/>
      <c r="Z12" s="375"/>
      <c r="AA12" s="375"/>
      <c r="AB12" s="375"/>
      <c r="AC12" s="399"/>
      <c r="AD12" s="362"/>
      <c r="AE12" s="362"/>
      <c r="AF12" s="360"/>
      <c r="AG12" s="360"/>
      <c r="AH12" s="360"/>
      <c r="AI12" s="360"/>
      <c r="AJ12" s="360"/>
      <c r="AK12" s="360"/>
    </row>
    <row r="13" spans="1:37" hidden="1" x14ac:dyDescent="0.25">
      <c r="A13" s="389"/>
      <c r="B13" s="372"/>
      <c r="C13" s="372"/>
      <c r="D13" s="378" t="s">
        <v>863</v>
      </c>
      <c r="E13" s="382">
        <v>91</v>
      </c>
      <c r="F13" s="383">
        <v>90</v>
      </c>
      <c r="G13" s="384">
        <v>89</v>
      </c>
      <c r="H13" s="421"/>
      <c r="I13" s="375"/>
      <c r="J13" s="375"/>
      <c r="K13" s="375"/>
      <c r="L13" s="375"/>
      <c r="M13" s="375"/>
      <c r="N13" s="375"/>
      <c r="O13" s="375"/>
      <c r="P13" s="375"/>
      <c r="Q13" s="375"/>
      <c r="R13" s="375"/>
      <c r="S13" s="375"/>
      <c r="T13" s="375"/>
      <c r="U13" s="375"/>
      <c r="V13" s="375"/>
      <c r="W13" s="375"/>
      <c r="X13" s="375"/>
      <c r="Y13" s="375"/>
      <c r="Z13" s="375"/>
      <c r="AA13" s="375"/>
      <c r="AB13" s="375"/>
      <c r="AC13" s="399"/>
      <c r="AD13" s="362"/>
      <c r="AE13" s="362"/>
      <c r="AF13" s="360"/>
      <c r="AG13" s="360"/>
      <c r="AH13" s="360"/>
      <c r="AI13" s="360"/>
      <c r="AJ13" s="360"/>
      <c r="AK13" s="360"/>
    </row>
    <row r="14" spans="1:37" s="386" customFormat="1" hidden="1" x14ac:dyDescent="0.25">
      <c r="A14" s="409"/>
      <c r="B14" s="406"/>
      <c r="C14" s="406"/>
      <c r="D14" s="406"/>
      <c r="E14" s="407">
        <v>2015</v>
      </c>
      <c r="F14" s="407">
        <v>2016</v>
      </c>
      <c r="G14" s="407">
        <v>2017</v>
      </c>
      <c r="H14" s="407"/>
      <c r="I14" s="407"/>
      <c r="J14" s="407"/>
      <c r="K14" s="407"/>
      <c r="L14" s="407"/>
      <c r="M14" s="407"/>
      <c r="N14" s="407"/>
      <c r="O14" s="407"/>
      <c r="P14" s="407"/>
      <c r="Q14" s="407"/>
      <c r="R14" s="407"/>
      <c r="S14" s="407"/>
      <c r="T14" s="407"/>
      <c r="U14" s="407"/>
      <c r="V14" s="407"/>
      <c r="W14" s="407"/>
      <c r="X14" s="407"/>
      <c r="Y14" s="407"/>
      <c r="Z14" s="407"/>
      <c r="AA14" s="407"/>
      <c r="AB14" s="407"/>
      <c r="AC14" s="413"/>
    </row>
    <row r="15" spans="1:37" x14ac:dyDescent="0.25">
      <c r="A15" s="422" t="s">
        <v>534</v>
      </c>
      <c r="B15" s="437" t="s">
        <v>538</v>
      </c>
      <c r="C15" s="437" t="s">
        <v>539</v>
      </c>
      <c r="D15" s="436" t="s">
        <v>904</v>
      </c>
      <c r="E15" s="420">
        <v>3938.7696571541301</v>
      </c>
      <c r="F15" s="420">
        <v>3967.0291970742301</v>
      </c>
      <c r="G15" s="420">
        <v>4074.1755858883198</v>
      </c>
      <c r="H15" s="421">
        <v>2015</v>
      </c>
      <c r="I15" s="421">
        <v>3.93876965715413</v>
      </c>
      <c r="J15" s="421">
        <v>2015</v>
      </c>
      <c r="K15" s="411">
        <v>4.0354200000000002</v>
      </c>
      <c r="L15" s="421">
        <f>AVERAGE(G16:G20)*0.7/1000</f>
        <v>6.7281759999999995</v>
      </c>
      <c r="M15" s="421"/>
      <c r="N15" s="421">
        <f>(L15-K15)*0.5+K15</f>
        <v>5.3817979999999999</v>
      </c>
      <c r="O15" s="421">
        <f>(Table14[[#This Row],[Ambitious target 2030]]-Table14[[#This Row],[Model reference value]])*0.25+Table14[[#This Row],[Model reference value]]</f>
        <v>4.708609</v>
      </c>
      <c r="P15" s="421">
        <f>K15</f>
        <v>4.0354200000000002</v>
      </c>
      <c r="Q15" s="421">
        <f>AVERAGE(G16:G20)/1000</f>
        <v>9.6116799999999998</v>
      </c>
      <c r="R15" s="421"/>
      <c r="S15" s="421">
        <f>(Table14[[#This Row],[Ambitious target 2050]]-Table14[[#This Row],[Model reference value]])*0.5+Table14[[#This Row],[Model reference value]]</f>
        <v>6.82355</v>
      </c>
      <c r="T15" s="421">
        <f>(Table14[[#This Row],[Ambitious target 2050]]-Table14[[#This Row],[Model reference value]])*0.25+Table14[[#This Row],[Model reference value]]</f>
        <v>5.4294849999999997</v>
      </c>
      <c r="U15" s="421">
        <f>Table14[[#This Row],[Worst value 2030]]</f>
        <v>4.0354200000000002</v>
      </c>
      <c r="V15" s="421">
        <f>AVERAGE(G16:G20)*1.3/1000</f>
        <v>12.495184000000002</v>
      </c>
      <c r="W15" s="421"/>
      <c r="X15" s="421">
        <f>(Table14[[#This Row],[Ambitious target 2100]]-Table14[[#This Row],[Model reference value]])*0.5+Table14[[#This Row],[Model reference value]]</f>
        <v>8.2653020000000019</v>
      </c>
      <c r="Y15" s="421">
        <f>(Table14[[#This Row],[Ambitious target 2100]]-Table14[[#This Row],[Model reference value]])*0.25+Table14[[#This Row],[Model reference value]]</f>
        <v>6.1503610000000002</v>
      </c>
      <c r="Z15" s="421">
        <f>Table14[[#This Row],[Worst value 2030]]</f>
        <v>4.0354200000000002</v>
      </c>
      <c r="AA15" s="421" t="s">
        <v>1556</v>
      </c>
      <c r="AB15" s="421" t="s">
        <v>1168</v>
      </c>
      <c r="AC15" s="419" t="s">
        <v>665</v>
      </c>
      <c r="AD15" s="360"/>
      <c r="AE15" s="360"/>
      <c r="AF15" s="360"/>
      <c r="AG15" s="360"/>
      <c r="AH15" s="360"/>
      <c r="AI15" s="360"/>
      <c r="AJ15" s="360"/>
      <c r="AK15" s="360"/>
    </row>
    <row r="16" spans="1:37" hidden="1" x14ac:dyDescent="0.25">
      <c r="A16" s="390"/>
      <c r="B16" s="369"/>
      <c r="C16" s="369"/>
      <c r="D16" s="369" t="s">
        <v>678</v>
      </c>
      <c r="E16" s="379">
        <v>13956.1</v>
      </c>
      <c r="F16" s="380">
        <v>12931.2</v>
      </c>
      <c r="G16" s="381">
        <v>12964.2</v>
      </c>
      <c r="H16" s="421">
        <v>2017</v>
      </c>
      <c r="I16" s="375">
        <v>12964.2</v>
      </c>
      <c r="J16" s="375"/>
      <c r="K16" s="375"/>
      <c r="L16" s="375"/>
      <c r="M16" s="375"/>
      <c r="N16" s="375"/>
      <c r="O16" s="375"/>
      <c r="P16" s="375"/>
      <c r="Q16" s="375"/>
      <c r="R16" s="375"/>
      <c r="S16" s="375"/>
      <c r="T16" s="375"/>
      <c r="U16" s="375"/>
      <c r="V16" s="375"/>
      <c r="W16" s="375"/>
      <c r="X16" s="375"/>
      <c r="Y16" s="375"/>
      <c r="Z16" s="375"/>
      <c r="AA16" s="375"/>
      <c r="AB16" s="375"/>
      <c r="AC16" s="396"/>
      <c r="AD16" s="360"/>
      <c r="AE16" s="360"/>
      <c r="AF16" s="360"/>
      <c r="AG16" s="360"/>
      <c r="AH16" s="360"/>
      <c r="AI16" s="360"/>
      <c r="AJ16" s="360"/>
      <c r="AK16" s="360"/>
    </row>
    <row r="17" spans="1:37" hidden="1" x14ac:dyDescent="0.25">
      <c r="A17" s="390"/>
      <c r="B17" s="369"/>
      <c r="C17" s="369"/>
      <c r="D17" s="369" t="s">
        <v>679</v>
      </c>
      <c r="E17" s="379">
        <v>9842.2000000000007</v>
      </c>
      <c r="F17" s="380">
        <v>6984.8</v>
      </c>
      <c r="G17" s="381">
        <v>9050.7000000000007</v>
      </c>
      <c r="H17" s="421">
        <v>2017</v>
      </c>
      <c r="I17" s="375">
        <v>9050.7000000000007</v>
      </c>
      <c r="J17" s="375"/>
      <c r="K17" s="375"/>
      <c r="L17" s="375"/>
      <c r="M17" s="375"/>
      <c r="N17" s="375"/>
      <c r="O17" s="375"/>
      <c r="P17" s="375"/>
      <c r="Q17" s="375"/>
      <c r="R17" s="375"/>
      <c r="S17" s="375"/>
      <c r="T17" s="375"/>
      <c r="U17" s="375"/>
      <c r="V17" s="375"/>
      <c r="W17" s="375"/>
      <c r="X17" s="375"/>
      <c r="Y17" s="375"/>
      <c r="Z17" s="375"/>
      <c r="AA17" s="375"/>
      <c r="AB17" s="375"/>
      <c r="AC17" s="396"/>
      <c r="AD17" s="360"/>
      <c r="AE17" s="360"/>
      <c r="AF17" s="360"/>
      <c r="AG17" s="360"/>
      <c r="AH17" s="360"/>
      <c r="AI17" s="360"/>
      <c r="AJ17" s="360"/>
      <c r="AK17" s="360"/>
    </row>
    <row r="18" spans="1:37" hidden="1" x14ac:dyDescent="0.25">
      <c r="A18" s="390"/>
      <c r="B18" s="369"/>
      <c r="C18" s="369"/>
      <c r="D18" s="369" t="s">
        <v>680</v>
      </c>
      <c r="E18" s="379">
        <v>8752.7999999999993</v>
      </c>
      <c r="F18" s="380">
        <v>7776.9</v>
      </c>
      <c r="G18" s="381">
        <v>8794.1</v>
      </c>
      <c r="H18" s="421">
        <v>2017</v>
      </c>
      <c r="I18" s="375">
        <v>8794.1</v>
      </c>
      <c r="J18" s="375"/>
      <c r="K18" s="375"/>
      <c r="L18" s="375"/>
      <c r="M18" s="375"/>
      <c r="N18" s="375"/>
      <c r="O18" s="375"/>
      <c r="P18" s="375"/>
      <c r="Q18" s="375"/>
      <c r="R18" s="375"/>
      <c r="S18" s="375"/>
      <c r="T18" s="375"/>
      <c r="U18" s="375"/>
      <c r="V18" s="375"/>
      <c r="W18" s="375"/>
      <c r="X18" s="375"/>
      <c r="Y18" s="375"/>
      <c r="Z18" s="375"/>
      <c r="AA18" s="375"/>
      <c r="AB18" s="375"/>
      <c r="AC18" s="396"/>
      <c r="AD18" s="360"/>
      <c r="AE18" s="360"/>
      <c r="AF18" s="360"/>
      <c r="AG18" s="360"/>
      <c r="AH18" s="360"/>
      <c r="AI18" s="360"/>
      <c r="AJ18" s="360"/>
      <c r="AK18" s="360"/>
    </row>
    <row r="19" spans="1:37" hidden="1" x14ac:dyDescent="0.25">
      <c r="A19" s="390"/>
      <c r="B19" s="369"/>
      <c r="C19" s="369"/>
      <c r="D19" s="369" t="s">
        <v>681</v>
      </c>
      <c r="E19" s="379">
        <v>9008.6</v>
      </c>
      <c r="F19" s="380">
        <v>8223.1</v>
      </c>
      <c r="G19" s="381">
        <v>8785</v>
      </c>
      <c r="H19" s="421">
        <v>2017</v>
      </c>
      <c r="I19" s="375">
        <v>8785</v>
      </c>
      <c r="J19" s="375"/>
      <c r="K19" s="375"/>
      <c r="L19" s="375"/>
      <c r="M19" s="375"/>
      <c r="N19" s="375"/>
      <c r="O19" s="375"/>
      <c r="P19" s="375"/>
      <c r="Q19" s="375"/>
      <c r="R19" s="375"/>
      <c r="S19" s="375"/>
      <c r="T19" s="375"/>
      <c r="U19" s="375"/>
      <c r="V19" s="375"/>
      <c r="W19" s="375"/>
      <c r="X19" s="375"/>
      <c r="Y19" s="375"/>
      <c r="Z19" s="375"/>
      <c r="AA19" s="375"/>
      <c r="AB19" s="375"/>
      <c r="AC19" s="396"/>
      <c r="AD19" s="360"/>
      <c r="AE19" s="360"/>
      <c r="AF19" s="360"/>
      <c r="AG19" s="360"/>
      <c r="AH19" s="360"/>
      <c r="AI19" s="360"/>
      <c r="AJ19" s="360"/>
      <c r="AK19" s="360"/>
    </row>
    <row r="20" spans="1:37" hidden="1" x14ac:dyDescent="0.25">
      <c r="A20" s="390"/>
      <c r="B20" s="369"/>
      <c r="C20" s="369"/>
      <c r="D20" s="369" t="s">
        <v>682</v>
      </c>
      <c r="E20" s="379">
        <v>8026.6</v>
      </c>
      <c r="F20" s="380">
        <v>8383.7999999999993</v>
      </c>
      <c r="G20" s="381">
        <v>8464.4</v>
      </c>
      <c r="H20" s="421">
        <v>2017</v>
      </c>
      <c r="I20" s="375">
        <v>8464.4</v>
      </c>
      <c r="J20" s="375"/>
      <c r="K20" s="375"/>
      <c r="L20" s="375"/>
      <c r="M20" s="375"/>
      <c r="N20" s="375"/>
      <c r="O20" s="375"/>
      <c r="P20" s="375"/>
      <c r="Q20" s="375"/>
      <c r="R20" s="375"/>
      <c r="S20" s="375"/>
      <c r="T20" s="375"/>
      <c r="U20" s="375"/>
      <c r="V20" s="375"/>
      <c r="W20" s="375"/>
      <c r="X20" s="375"/>
      <c r="Y20" s="375"/>
      <c r="Z20" s="375"/>
      <c r="AA20" s="375"/>
      <c r="AB20" s="375"/>
      <c r="AC20" s="396"/>
      <c r="AD20" s="360"/>
      <c r="AE20" s="360"/>
      <c r="AF20" s="360"/>
      <c r="AG20" s="360"/>
      <c r="AH20" s="360"/>
      <c r="AI20" s="360"/>
      <c r="AJ20" s="360"/>
      <c r="AK20" s="360"/>
    </row>
    <row r="21" spans="1:37" hidden="1" x14ac:dyDescent="0.25">
      <c r="A21" s="390"/>
      <c r="B21" s="369"/>
      <c r="C21" s="369"/>
      <c r="D21" s="369" t="s">
        <v>676</v>
      </c>
      <c r="E21" s="382">
        <v>551.29999999999995</v>
      </c>
      <c r="F21" s="383">
        <v>536.5</v>
      </c>
      <c r="G21" s="384">
        <v>541.9</v>
      </c>
      <c r="H21" s="421">
        <v>2017</v>
      </c>
      <c r="I21" s="375">
        <v>541.9</v>
      </c>
      <c r="J21" s="375"/>
      <c r="K21" s="375"/>
      <c r="L21" s="375"/>
      <c r="M21" s="375"/>
      <c r="N21" s="375"/>
      <c r="O21" s="375"/>
      <c r="P21" s="375"/>
      <c r="Q21" s="375"/>
      <c r="R21" s="375"/>
      <c r="S21" s="375"/>
      <c r="T21" s="375"/>
      <c r="U21" s="375"/>
      <c r="V21" s="375"/>
      <c r="W21" s="375"/>
      <c r="X21" s="375"/>
      <c r="Y21" s="375"/>
      <c r="Z21" s="375"/>
      <c r="AA21" s="375"/>
      <c r="AB21" s="375"/>
      <c r="AC21" s="396"/>
      <c r="AD21" s="360"/>
      <c r="AE21" s="360"/>
      <c r="AF21" s="360"/>
      <c r="AG21" s="360"/>
      <c r="AH21" s="360"/>
      <c r="AI21" s="360"/>
      <c r="AJ21" s="360"/>
      <c r="AK21" s="360"/>
    </row>
    <row r="22" spans="1:37" hidden="1" x14ac:dyDescent="0.25">
      <c r="A22" s="390"/>
      <c r="B22" s="369"/>
      <c r="C22" s="369"/>
      <c r="D22" s="369" t="s">
        <v>683</v>
      </c>
      <c r="E22" s="382">
        <v>538</v>
      </c>
      <c r="F22" s="383">
        <v>507.2</v>
      </c>
      <c r="G22" s="384">
        <v>547</v>
      </c>
      <c r="H22" s="421">
        <v>2017</v>
      </c>
      <c r="I22" s="375">
        <v>547</v>
      </c>
      <c r="J22" s="375"/>
      <c r="K22" s="375"/>
      <c r="L22" s="375"/>
      <c r="M22" s="375"/>
      <c r="N22" s="375"/>
      <c r="O22" s="375"/>
      <c r="P22" s="375"/>
      <c r="Q22" s="375"/>
      <c r="R22" s="375"/>
      <c r="S22" s="375"/>
      <c r="T22" s="375"/>
      <c r="U22" s="375"/>
      <c r="V22" s="375"/>
      <c r="W22" s="375"/>
      <c r="X22" s="375"/>
      <c r="Y22" s="375"/>
      <c r="Z22" s="375"/>
      <c r="AA22" s="375"/>
      <c r="AB22" s="375"/>
      <c r="AC22" s="396"/>
      <c r="AD22" s="360"/>
      <c r="AE22" s="360"/>
      <c r="AF22" s="360"/>
      <c r="AG22" s="360"/>
      <c r="AH22" s="360"/>
      <c r="AI22" s="360"/>
      <c r="AJ22" s="360"/>
      <c r="AK22" s="360"/>
    </row>
    <row r="23" spans="1:37" hidden="1" x14ac:dyDescent="0.25">
      <c r="A23" s="390"/>
      <c r="B23" s="369"/>
      <c r="C23" s="369"/>
      <c r="D23" s="369" t="s">
        <v>684</v>
      </c>
      <c r="E23" s="382">
        <v>553.6</v>
      </c>
      <c r="F23" s="383">
        <v>1279.4000000000001</v>
      </c>
      <c r="G23" s="384">
        <v>609.20000000000005</v>
      </c>
      <c r="H23" s="421">
        <v>2017</v>
      </c>
      <c r="I23" s="375">
        <v>609.20000000000005</v>
      </c>
      <c r="J23" s="375"/>
      <c r="K23" s="375"/>
      <c r="L23" s="375"/>
      <c r="M23" s="375"/>
      <c r="N23" s="375"/>
      <c r="O23" s="375"/>
      <c r="P23" s="375"/>
      <c r="Q23" s="375"/>
      <c r="R23" s="375"/>
      <c r="S23" s="375"/>
      <c r="T23" s="375"/>
      <c r="U23" s="375"/>
      <c r="V23" s="375"/>
      <c r="W23" s="375"/>
      <c r="X23" s="375"/>
      <c r="Y23" s="375"/>
      <c r="Z23" s="375"/>
      <c r="AA23" s="375"/>
      <c r="AB23" s="375"/>
      <c r="AC23" s="396"/>
      <c r="AD23" s="360"/>
      <c r="AE23" s="360"/>
      <c r="AF23" s="360"/>
      <c r="AG23" s="360"/>
      <c r="AH23" s="360"/>
      <c r="AI23" s="360"/>
      <c r="AJ23" s="360"/>
      <c r="AK23" s="360"/>
    </row>
    <row r="24" spans="1:37" hidden="1" x14ac:dyDescent="0.25">
      <c r="A24" s="390"/>
      <c r="B24" s="369"/>
      <c r="C24" s="369"/>
      <c r="D24" s="369" t="s">
        <v>685</v>
      </c>
      <c r="E24" s="382">
        <v>558.20000000000005</v>
      </c>
      <c r="F24" s="383">
        <v>581.79999999999995</v>
      </c>
      <c r="G24" s="384">
        <v>616</v>
      </c>
      <c r="H24" s="421">
        <v>2017</v>
      </c>
      <c r="I24" s="375">
        <v>616</v>
      </c>
      <c r="J24" s="375"/>
      <c r="K24" s="375"/>
      <c r="L24" s="375"/>
      <c r="M24" s="375"/>
      <c r="N24" s="375"/>
      <c r="O24" s="375"/>
      <c r="P24" s="375"/>
      <c r="Q24" s="375"/>
      <c r="R24" s="375"/>
      <c r="S24" s="375"/>
      <c r="T24" s="375"/>
      <c r="U24" s="375"/>
      <c r="V24" s="375"/>
      <c r="W24" s="375"/>
      <c r="X24" s="375"/>
      <c r="Y24" s="375"/>
      <c r="Z24" s="375"/>
      <c r="AA24" s="375"/>
      <c r="AB24" s="375"/>
      <c r="AC24" s="396"/>
      <c r="AD24" s="360"/>
      <c r="AE24" s="360"/>
      <c r="AF24" s="360"/>
      <c r="AG24" s="360"/>
      <c r="AH24" s="360"/>
      <c r="AI24" s="360"/>
      <c r="AJ24" s="360"/>
      <c r="AK24" s="360"/>
    </row>
    <row r="25" spans="1:37" hidden="1" x14ac:dyDescent="0.25">
      <c r="A25" s="390"/>
      <c r="B25" s="369"/>
      <c r="C25" s="369"/>
      <c r="D25" s="369" t="s">
        <v>686</v>
      </c>
      <c r="E25" s="382">
        <v>569.9</v>
      </c>
      <c r="F25" s="383">
        <v>684.8</v>
      </c>
      <c r="G25" s="384">
        <v>674.2</v>
      </c>
      <c r="H25" s="421">
        <v>2017</v>
      </c>
      <c r="I25" s="375">
        <v>674.2</v>
      </c>
      <c r="J25" s="375"/>
      <c r="K25" s="375"/>
      <c r="L25" s="375"/>
      <c r="M25" s="375"/>
      <c r="N25" s="375"/>
      <c r="O25" s="375"/>
      <c r="P25" s="375"/>
      <c r="Q25" s="375"/>
      <c r="R25" s="375"/>
      <c r="S25" s="375"/>
      <c r="T25" s="375"/>
      <c r="U25" s="375"/>
      <c r="V25" s="375"/>
      <c r="W25" s="375"/>
      <c r="X25" s="375"/>
      <c r="Y25" s="375"/>
      <c r="Z25" s="375"/>
      <c r="AA25" s="375"/>
      <c r="AB25" s="375"/>
      <c r="AC25" s="396"/>
      <c r="AD25" s="360"/>
      <c r="AE25" s="360"/>
      <c r="AF25" s="360"/>
      <c r="AG25" s="360"/>
      <c r="AH25" s="360"/>
      <c r="AI25" s="360"/>
      <c r="AJ25" s="360"/>
      <c r="AK25" s="360"/>
    </row>
    <row r="26" spans="1:37" s="386" customFormat="1" hidden="1" x14ac:dyDescent="0.25">
      <c r="A26" s="409"/>
      <c r="B26" s="406"/>
      <c r="C26" s="406"/>
      <c r="D26" s="406"/>
      <c r="E26" s="407">
        <v>2015</v>
      </c>
      <c r="F26" s="407">
        <v>2016</v>
      </c>
      <c r="G26" s="407">
        <v>2017</v>
      </c>
      <c r="H26" s="407"/>
      <c r="I26" s="407"/>
      <c r="J26" s="407"/>
      <c r="K26" s="407"/>
      <c r="L26" s="407"/>
      <c r="M26" s="407"/>
      <c r="N26" s="407"/>
      <c r="O26" s="407"/>
      <c r="P26" s="407"/>
      <c r="Q26" s="407"/>
      <c r="R26" s="407"/>
      <c r="S26" s="407"/>
      <c r="T26" s="407"/>
      <c r="U26" s="407"/>
      <c r="V26" s="407"/>
      <c r="W26" s="407"/>
      <c r="X26" s="407"/>
      <c r="Y26" s="407"/>
      <c r="Z26" s="407"/>
      <c r="AA26" s="407"/>
      <c r="AB26" s="407"/>
      <c r="AC26" s="413"/>
    </row>
    <row r="27" spans="1:37" x14ac:dyDescent="0.25">
      <c r="A27" s="422" t="s">
        <v>535</v>
      </c>
      <c r="B27" s="648" t="s">
        <v>509</v>
      </c>
      <c r="C27" s="437" t="s">
        <v>1613</v>
      </c>
      <c r="D27" s="436" t="s">
        <v>904</v>
      </c>
      <c r="E27" s="420">
        <v>6579602</v>
      </c>
      <c r="F27" s="420">
        <v>6710148</v>
      </c>
      <c r="G27" s="420">
        <v>6898596</v>
      </c>
      <c r="H27" s="421">
        <v>2015</v>
      </c>
      <c r="I27" s="421">
        <v>6.5796020000000004</v>
      </c>
      <c r="J27" s="375">
        <v>2015</v>
      </c>
      <c r="K27" s="424">
        <v>7.5308200000000003</v>
      </c>
      <c r="L27" s="425">
        <f>Table14[[#This Row],[Data reference value]]+Table14[[#This Row],[Data reference value]]*Table14[[#This Row],[Ambitious target improvement rate 2030]]</f>
        <v>8.7508706600000004</v>
      </c>
      <c r="M27" s="425">
        <v>0.33</v>
      </c>
      <c r="N27" s="425">
        <f>(Table14[[#This Row],[Ambitious target 2030]]-Table14[[#This Row],[Model reference value]])*0.5+Table14[[#This Row],[Model reference value]]</f>
        <v>8.1408453300000012</v>
      </c>
      <c r="O27" s="425">
        <f>(Table14[[#This Row],[Ambitious target 2030]]-Table14[[#This Row],[Model reference value]])*0.25+Table14[[#This Row],[Model reference value]]</f>
        <v>7.8358326649999999</v>
      </c>
      <c r="P27" s="425">
        <f>Table14[[#This Row],[Model reference value]]</f>
        <v>7.5308200000000003</v>
      </c>
      <c r="Q27" s="421">
        <f>Table14[[#This Row],[Data reference value]]+Table14[[#This Row],[Data reference value]]*Table14[[#This Row],[Ambitious target improvement rate 2050]]</f>
        <v>10.5273632</v>
      </c>
      <c r="R27" s="421">
        <v>0.6</v>
      </c>
      <c r="S27" s="425">
        <f>(Table14[[#This Row],[Ambitious target 2050]]-Table14[[#This Row],[Model reference value]])*0.5+Table14[[#This Row],[Model reference value]]</f>
        <v>9.029091600000001</v>
      </c>
      <c r="T27" s="425">
        <f>(Table14[[#This Row],[Ambitious target 2050]]-Table14[[#This Row],[Model reference value]])*0.25+Table14[[#This Row],[Model reference value]]</f>
        <v>8.2799557999999998</v>
      </c>
      <c r="U27" s="421">
        <f>Table14[[#This Row],[Worst value 2030]]</f>
        <v>7.5308200000000003</v>
      </c>
      <c r="V27" s="421">
        <f>Table14[[#This Row],[Data reference value]]+Table14[[#This Row],[Data reference value]]*Table14[[#This Row],[Ambitious target improvement rate 2100]]</f>
        <v>12.1722637</v>
      </c>
      <c r="W27" s="421">
        <v>0.85</v>
      </c>
      <c r="X27" s="425">
        <f>(Table14[[#This Row],[Ambitious target 2100]]-Table14[[#This Row],[Model reference value]])*0.5+Table14[[#This Row],[Model reference value]]</f>
        <v>9.8515418500000003</v>
      </c>
      <c r="Y27" s="425">
        <f>(Table14[[#This Row],[Ambitious target 2100]]-Table14[[#This Row],[Model reference value]])*0.25+Table14[[#This Row],[Model reference value]]</f>
        <v>8.6911809250000012</v>
      </c>
      <c r="Z27" s="421">
        <f>Table14[[#This Row],[Worst value 2030]]</f>
        <v>7.5308200000000003</v>
      </c>
      <c r="AA27" s="421" t="s">
        <v>1140</v>
      </c>
      <c r="AB27" s="421" t="s">
        <v>1561</v>
      </c>
      <c r="AC27" s="419" t="s">
        <v>852</v>
      </c>
      <c r="AD27" s="360"/>
      <c r="AE27" s="360"/>
      <c r="AF27" s="360"/>
      <c r="AG27" s="360"/>
      <c r="AH27" s="360"/>
      <c r="AI27" s="360"/>
      <c r="AJ27" s="360"/>
      <c r="AK27" s="360"/>
    </row>
    <row r="28" spans="1:37" hidden="1" x14ac:dyDescent="0.25">
      <c r="A28" s="390"/>
      <c r="B28" s="369"/>
      <c r="C28" s="369"/>
      <c r="D28" s="369"/>
      <c r="E28" s="379"/>
      <c r="F28" s="380"/>
      <c r="G28" s="381"/>
      <c r="H28" s="421"/>
      <c r="I28" s="375"/>
      <c r="J28" s="375"/>
      <c r="K28" s="375"/>
      <c r="L28" s="375"/>
      <c r="M28" s="375"/>
      <c r="N28" s="375"/>
      <c r="O28" s="375"/>
      <c r="P28" s="375"/>
      <c r="Q28" s="375"/>
      <c r="R28" s="375"/>
      <c r="S28" s="375"/>
      <c r="T28" s="375"/>
      <c r="U28" s="375"/>
      <c r="V28" s="375"/>
      <c r="W28" s="375"/>
      <c r="X28" s="375"/>
      <c r="Y28" s="375"/>
      <c r="Z28" s="375"/>
      <c r="AA28" s="375"/>
      <c r="AB28" s="375"/>
      <c r="AC28" s="396"/>
      <c r="AD28" s="360"/>
      <c r="AE28" s="360"/>
      <c r="AF28" s="360"/>
      <c r="AG28" s="360"/>
      <c r="AH28" s="360"/>
      <c r="AI28" s="360"/>
      <c r="AJ28" s="360"/>
      <c r="AK28" s="360"/>
    </row>
    <row r="29" spans="1:37" hidden="1" x14ac:dyDescent="0.25">
      <c r="A29" s="390"/>
      <c r="B29" s="369"/>
      <c r="C29" s="369"/>
      <c r="D29" s="372"/>
      <c r="E29" s="379"/>
      <c r="F29" s="380"/>
      <c r="G29" s="381"/>
      <c r="H29" s="421"/>
      <c r="I29" s="375"/>
      <c r="J29" s="375"/>
      <c r="K29" s="375"/>
      <c r="L29" s="375"/>
      <c r="M29" s="375"/>
      <c r="N29" s="431"/>
      <c r="O29" s="431"/>
      <c r="P29" s="431"/>
      <c r="Q29" s="431"/>
      <c r="R29" s="431"/>
      <c r="S29" s="431"/>
      <c r="T29" s="431"/>
      <c r="U29" s="431"/>
      <c r="V29" s="431"/>
      <c r="W29" s="431"/>
      <c r="X29" s="431"/>
      <c r="Y29" s="431"/>
      <c r="Z29" s="431"/>
      <c r="AA29" s="375"/>
      <c r="AB29" s="375"/>
      <c r="AC29" s="396"/>
      <c r="AD29" s="360"/>
      <c r="AE29" s="360"/>
      <c r="AF29" s="360"/>
      <c r="AG29" s="360"/>
      <c r="AH29" s="360"/>
      <c r="AI29" s="360"/>
      <c r="AJ29" s="360"/>
      <c r="AK29" s="360"/>
    </row>
    <row r="30" spans="1:37" hidden="1" x14ac:dyDescent="0.25">
      <c r="A30" s="390"/>
      <c r="B30" s="369"/>
      <c r="C30" s="369"/>
      <c r="D30" s="372"/>
      <c r="E30" s="379"/>
      <c r="F30" s="380"/>
      <c r="G30" s="381"/>
      <c r="H30" s="421"/>
      <c r="I30" s="375"/>
      <c r="J30" s="375"/>
      <c r="K30" s="375"/>
      <c r="L30" s="375"/>
      <c r="M30" s="375"/>
      <c r="N30" s="431"/>
      <c r="O30" s="431"/>
      <c r="P30" s="431"/>
      <c r="Q30" s="431"/>
      <c r="R30" s="431"/>
      <c r="S30" s="431"/>
      <c r="T30" s="431"/>
      <c r="U30" s="431"/>
      <c r="V30" s="431"/>
      <c r="W30" s="431"/>
      <c r="X30" s="431"/>
      <c r="Y30" s="431"/>
      <c r="Z30" s="431"/>
      <c r="AA30" s="375"/>
      <c r="AB30" s="375"/>
      <c r="AC30" s="396"/>
      <c r="AD30" s="360"/>
      <c r="AE30" s="360"/>
      <c r="AF30" s="360"/>
      <c r="AG30" s="360"/>
      <c r="AH30" s="360"/>
      <c r="AI30" s="360"/>
      <c r="AJ30" s="360"/>
      <c r="AK30" s="360"/>
    </row>
    <row r="31" spans="1:37" hidden="1" x14ac:dyDescent="0.25">
      <c r="A31" s="390"/>
      <c r="B31" s="369"/>
      <c r="C31" s="369"/>
      <c r="D31" s="372"/>
      <c r="E31" s="379"/>
      <c r="F31" s="380"/>
      <c r="G31" s="381"/>
      <c r="H31" s="421"/>
      <c r="I31" s="375"/>
      <c r="J31" s="375"/>
      <c r="K31" s="375"/>
      <c r="L31" s="375"/>
      <c r="M31" s="375"/>
      <c r="N31" s="431"/>
      <c r="O31" s="431"/>
      <c r="P31" s="431"/>
      <c r="Q31" s="431"/>
      <c r="R31" s="431"/>
      <c r="S31" s="431"/>
      <c r="T31" s="431"/>
      <c r="U31" s="431"/>
      <c r="V31" s="431"/>
      <c r="W31" s="431"/>
      <c r="X31" s="431"/>
      <c r="Y31" s="431"/>
      <c r="Z31" s="431"/>
      <c r="AA31" s="375"/>
      <c r="AB31" s="375"/>
      <c r="AC31" s="396"/>
      <c r="AD31" s="360"/>
      <c r="AE31" s="360"/>
      <c r="AF31" s="360"/>
      <c r="AG31" s="360"/>
      <c r="AH31" s="360"/>
      <c r="AI31" s="360"/>
      <c r="AJ31" s="360"/>
      <c r="AK31" s="360"/>
    </row>
    <row r="32" spans="1:37" hidden="1" x14ac:dyDescent="0.25">
      <c r="A32" s="390"/>
      <c r="B32" s="369"/>
      <c r="C32" s="369"/>
      <c r="D32" s="372"/>
      <c r="E32" s="379"/>
      <c r="F32" s="380"/>
      <c r="G32" s="381"/>
      <c r="H32" s="421"/>
      <c r="I32" s="375"/>
      <c r="J32" s="375"/>
      <c r="K32" s="375"/>
      <c r="L32" s="375"/>
      <c r="M32" s="375"/>
      <c r="N32" s="431"/>
      <c r="O32" s="431"/>
      <c r="P32" s="431"/>
      <c r="Q32" s="431"/>
      <c r="R32" s="431"/>
      <c r="S32" s="431"/>
      <c r="T32" s="431"/>
      <c r="U32" s="431"/>
      <c r="V32" s="431"/>
      <c r="W32" s="431"/>
      <c r="X32" s="431"/>
      <c r="Y32" s="431"/>
      <c r="Z32" s="431"/>
      <c r="AA32" s="375"/>
      <c r="AB32" s="375"/>
      <c r="AC32" s="396"/>
      <c r="AD32" s="360"/>
      <c r="AE32" s="360"/>
      <c r="AF32" s="360"/>
      <c r="AG32" s="360"/>
      <c r="AH32" s="360"/>
      <c r="AI32" s="360"/>
      <c r="AJ32" s="360"/>
      <c r="AK32" s="360"/>
    </row>
    <row r="33" spans="1:37" hidden="1" x14ac:dyDescent="0.25">
      <c r="A33" s="390"/>
      <c r="B33" s="369"/>
      <c r="C33" s="369"/>
      <c r="D33" s="369"/>
      <c r="E33" s="382"/>
      <c r="F33" s="383"/>
      <c r="G33" s="384"/>
      <c r="H33" s="421"/>
      <c r="I33" s="375"/>
      <c r="J33" s="375"/>
      <c r="K33" s="375"/>
      <c r="L33" s="375"/>
      <c r="M33" s="375"/>
      <c r="N33" s="375"/>
      <c r="O33" s="375"/>
      <c r="P33" s="375"/>
      <c r="Q33" s="375"/>
      <c r="R33" s="375"/>
      <c r="S33" s="375"/>
      <c r="T33" s="375"/>
      <c r="U33" s="375"/>
      <c r="V33" s="375"/>
      <c r="W33" s="375"/>
      <c r="X33" s="375"/>
      <c r="Y33" s="375"/>
      <c r="Z33" s="375"/>
      <c r="AA33" s="375"/>
      <c r="AB33" s="375"/>
      <c r="AC33" s="396"/>
      <c r="AD33" s="360"/>
      <c r="AE33" s="360"/>
      <c r="AF33" s="360"/>
      <c r="AG33" s="360"/>
      <c r="AH33" s="360"/>
      <c r="AI33" s="360"/>
      <c r="AJ33" s="360"/>
      <c r="AK33" s="360"/>
    </row>
    <row r="34" spans="1:37" hidden="1" x14ac:dyDescent="0.25">
      <c r="A34" s="390"/>
      <c r="B34" s="369"/>
      <c r="C34" s="369"/>
      <c r="D34" s="369"/>
      <c r="E34" s="382"/>
      <c r="F34" s="383"/>
      <c r="G34" s="384"/>
      <c r="H34" s="421"/>
      <c r="I34" s="375"/>
      <c r="J34" s="375"/>
      <c r="K34" s="375"/>
      <c r="L34" s="375"/>
      <c r="M34" s="375"/>
      <c r="N34" s="375"/>
      <c r="O34" s="375"/>
      <c r="P34" s="375"/>
      <c r="Q34" s="375"/>
      <c r="R34" s="375"/>
      <c r="S34" s="375"/>
      <c r="T34" s="375"/>
      <c r="U34" s="375"/>
      <c r="V34" s="375"/>
      <c r="W34" s="375"/>
      <c r="X34" s="375"/>
      <c r="Y34" s="375"/>
      <c r="Z34" s="375"/>
      <c r="AA34" s="375"/>
      <c r="AB34" s="375"/>
      <c r="AC34" s="396"/>
      <c r="AD34" s="360"/>
      <c r="AE34" s="360"/>
      <c r="AF34" s="360"/>
      <c r="AG34" s="360"/>
      <c r="AH34" s="360"/>
      <c r="AI34" s="360"/>
      <c r="AJ34" s="360"/>
      <c r="AK34" s="360"/>
    </row>
    <row r="35" spans="1:37" hidden="1" x14ac:dyDescent="0.25">
      <c r="A35" s="390"/>
      <c r="B35" s="369"/>
      <c r="C35" s="369"/>
      <c r="D35" s="372"/>
      <c r="E35" s="382"/>
      <c r="F35" s="383"/>
      <c r="G35" s="384"/>
      <c r="H35" s="421"/>
      <c r="I35" s="375"/>
      <c r="J35" s="375"/>
      <c r="K35" s="375"/>
      <c r="L35" s="375"/>
      <c r="M35" s="375"/>
      <c r="N35" s="431"/>
      <c r="O35" s="431"/>
      <c r="P35" s="431"/>
      <c r="Q35" s="431"/>
      <c r="R35" s="431"/>
      <c r="S35" s="431"/>
      <c r="T35" s="431"/>
      <c r="U35" s="431"/>
      <c r="V35" s="431"/>
      <c r="W35" s="431"/>
      <c r="X35" s="431"/>
      <c r="Y35" s="431"/>
      <c r="Z35" s="431"/>
      <c r="AA35" s="375"/>
      <c r="AB35" s="375"/>
      <c r="AC35" s="396"/>
      <c r="AD35" s="360"/>
      <c r="AE35" s="360"/>
      <c r="AF35" s="360"/>
      <c r="AG35" s="360"/>
      <c r="AH35" s="360"/>
      <c r="AI35" s="360"/>
      <c r="AJ35" s="360"/>
      <c r="AK35" s="360"/>
    </row>
    <row r="36" spans="1:37" hidden="1" x14ac:dyDescent="0.25">
      <c r="A36" s="390"/>
      <c r="B36" s="369"/>
      <c r="C36" s="369"/>
      <c r="D36" s="372"/>
      <c r="E36" s="382"/>
      <c r="F36" s="383"/>
      <c r="G36" s="384"/>
      <c r="H36" s="421"/>
      <c r="I36" s="375"/>
      <c r="J36" s="375"/>
      <c r="K36" s="375"/>
      <c r="L36" s="375"/>
      <c r="M36" s="375"/>
      <c r="N36" s="431"/>
      <c r="O36" s="431"/>
      <c r="P36" s="431"/>
      <c r="Q36" s="431"/>
      <c r="R36" s="431"/>
      <c r="S36" s="431"/>
      <c r="T36" s="431"/>
      <c r="U36" s="431"/>
      <c r="V36" s="431"/>
      <c r="W36" s="431"/>
      <c r="X36" s="431"/>
      <c r="Y36" s="431"/>
      <c r="Z36" s="431"/>
      <c r="AA36" s="375"/>
      <c r="AB36" s="375"/>
      <c r="AC36" s="396"/>
      <c r="AD36" s="360"/>
      <c r="AE36" s="360"/>
      <c r="AF36" s="360"/>
      <c r="AG36" s="360"/>
      <c r="AH36" s="360"/>
      <c r="AI36" s="360"/>
      <c r="AJ36" s="360"/>
      <c r="AK36" s="360"/>
    </row>
    <row r="37" spans="1:37" hidden="1" x14ac:dyDescent="0.25">
      <c r="A37" s="390"/>
      <c r="B37" s="369"/>
      <c r="C37" s="369"/>
      <c r="D37" s="372"/>
      <c r="E37" s="382"/>
      <c r="F37" s="383"/>
      <c r="G37" s="384"/>
      <c r="H37" s="421"/>
      <c r="I37" s="375"/>
      <c r="J37" s="375"/>
      <c r="K37" s="375"/>
      <c r="L37" s="375"/>
      <c r="M37" s="375"/>
      <c r="N37" s="431"/>
      <c r="O37" s="431"/>
      <c r="P37" s="431"/>
      <c r="Q37" s="431"/>
      <c r="R37" s="431"/>
      <c r="S37" s="431"/>
      <c r="T37" s="431"/>
      <c r="U37" s="431"/>
      <c r="V37" s="431"/>
      <c r="W37" s="431"/>
      <c r="X37" s="431"/>
      <c r="Y37" s="431"/>
      <c r="Z37" s="431"/>
      <c r="AA37" s="375"/>
      <c r="AB37" s="375"/>
      <c r="AC37" s="396"/>
      <c r="AD37" s="360"/>
      <c r="AE37" s="360"/>
      <c r="AF37" s="360"/>
      <c r="AG37" s="360"/>
      <c r="AH37" s="360"/>
      <c r="AI37" s="360"/>
      <c r="AJ37" s="360"/>
      <c r="AK37" s="360"/>
    </row>
    <row r="38" spans="1:37" s="386" customFormat="1" hidden="1" x14ac:dyDescent="0.25">
      <c r="A38" s="409"/>
      <c r="B38" s="406"/>
      <c r="C38" s="406"/>
      <c r="D38" s="406"/>
      <c r="E38" s="407">
        <v>2015</v>
      </c>
      <c r="F38" s="407">
        <v>2016</v>
      </c>
      <c r="G38" s="407">
        <v>2017</v>
      </c>
      <c r="H38" s="407"/>
      <c r="I38" s="407"/>
      <c r="J38" s="407"/>
      <c r="K38" s="407"/>
      <c r="L38" s="407"/>
      <c r="M38" s="407"/>
      <c r="N38" s="407"/>
      <c r="O38" s="407"/>
      <c r="P38" s="407"/>
      <c r="Q38" s="407"/>
      <c r="R38" s="407"/>
      <c r="S38" s="407"/>
      <c r="T38" s="407"/>
      <c r="U38" s="407"/>
      <c r="V38" s="407"/>
      <c r="W38" s="407"/>
      <c r="X38" s="407"/>
      <c r="Y38" s="407"/>
      <c r="Z38" s="407"/>
      <c r="AA38" s="407"/>
      <c r="AB38" s="407"/>
      <c r="AC38" s="413"/>
    </row>
    <row r="39" spans="1:37" x14ac:dyDescent="0.25">
      <c r="A39" s="422" t="s">
        <v>536</v>
      </c>
      <c r="B39" s="648" t="s">
        <v>508</v>
      </c>
      <c r="C39" s="437" t="s">
        <v>1613</v>
      </c>
      <c r="D39" s="436" t="s">
        <v>904</v>
      </c>
      <c r="E39" s="420">
        <v>324246</v>
      </c>
      <c r="F39" s="420">
        <v>328069</v>
      </c>
      <c r="G39" s="420">
        <v>332386</v>
      </c>
      <c r="H39" s="421">
        <v>2015</v>
      </c>
      <c r="I39" s="421">
        <v>0.32424599999999998</v>
      </c>
      <c r="J39" s="421">
        <v>2015</v>
      </c>
      <c r="K39" s="411">
        <v>0.37923099999999998</v>
      </c>
      <c r="L39" s="421">
        <f>Table14[[#This Row],[Data reference value]]+Table14[[#This Row],[Data reference value]]*Table14[[#This Row],[Ambitious target improvement rate 2030]]</f>
        <v>0.44421701999999996</v>
      </c>
      <c r="M39" s="421">
        <v>0.37</v>
      </c>
      <c r="N39" s="421">
        <f>(Table14[[#This Row],[Ambitious target 2030]]-Table14[[#This Row],[Model reference value]])*0.5+Table14[[#This Row],[Model reference value]]</f>
        <v>0.41172400999999997</v>
      </c>
      <c r="O39" s="421">
        <f>(Table14[[#This Row],[Ambitious target 2030]]-Table14[[#This Row],[Model reference value]])*0.25+Table14[[#This Row],[Model reference value]]</f>
        <v>0.39547750500000001</v>
      </c>
      <c r="P39" s="421">
        <f>Table14[[#This Row],[Model reference value]]</f>
        <v>0.37923099999999998</v>
      </c>
      <c r="Q39" s="421">
        <f>Table14[[#This Row],[Data reference value]]+Table14[[#This Row],[Data reference value]]*Table14[[#This Row],[Ambitious target improvement rate 2050]]</f>
        <v>0.53500590000000003</v>
      </c>
      <c r="R39" s="421">
        <v>0.65</v>
      </c>
      <c r="S39" s="421">
        <f>(Table14[[#This Row],[Ambitious target 2050]]-Table14[[#This Row],[Model reference value]])*0.5+Table14[[#This Row],[Model reference value]]</f>
        <v>0.45711845000000001</v>
      </c>
      <c r="T39" s="421">
        <f>(Table14[[#This Row],[Ambitious target 2050]]-Table14[[#This Row],[Model reference value]])*0.25+Table14[[#This Row],[Model reference value]]</f>
        <v>0.41817472499999997</v>
      </c>
      <c r="U39" s="421">
        <f>Table14[[#This Row],[Worst value 2030]]</f>
        <v>0.37923099999999998</v>
      </c>
      <c r="V39" s="421">
        <f>Table14[[#This Row],[Data reference value]]+Table14[[#This Row],[Data reference value]]*Table14[[#This Row],[Ambitious target improvement rate 2100]]</f>
        <v>0.62903723999999994</v>
      </c>
      <c r="W39" s="421">
        <v>0.94</v>
      </c>
      <c r="X39" s="421">
        <f>(Table14[[#This Row],[Ambitious target 2100]]-Table14[[#This Row],[Model reference value]])*0.5+Table14[[#This Row],[Model reference value]]</f>
        <v>0.50413412000000002</v>
      </c>
      <c r="Y39" s="421">
        <f>(Table14[[#This Row],[Ambitious target 2100]]-Table14[[#This Row],[Model reference value]])*0.25+Table14[[#This Row],[Model reference value]]</f>
        <v>0.44168255999999995</v>
      </c>
      <c r="Z39" s="421">
        <f>Table14[[#This Row],[Worst value 2030]]</f>
        <v>0.37923099999999998</v>
      </c>
      <c r="AA39" s="421" t="s">
        <v>1140</v>
      </c>
      <c r="AB39" s="421" t="s">
        <v>1562</v>
      </c>
      <c r="AC39" s="419" t="s">
        <v>852</v>
      </c>
      <c r="AD39" s="360"/>
      <c r="AE39" s="360"/>
      <c r="AF39" s="360"/>
      <c r="AG39" s="360"/>
      <c r="AH39" s="360"/>
      <c r="AI39" s="360"/>
      <c r="AJ39" s="360"/>
      <c r="AK39" s="360"/>
    </row>
    <row r="40" spans="1:37" hidden="1" x14ac:dyDescent="0.25">
      <c r="A40" s="390"/>
      <c r="B40" s="369"/>
      <c r="C40" s="369"/>
      <c r="D40" s="369" t="s">
        <v>777</v>
      </c>
      <c r="E40" s="379">
        <v>88366</v>
      </c>
      <c r="F40" s="380">
        <v>87584</v>
      </c>
      <c r="G40" s="381">
        <v>88051</v>
      </c>
      <c r="H40" s="421"/>
      <c r="I40" s="375"/>
      <c r="J40" s="375"/>
      <c r="K40" s="375"/>
      <c r="L40" s="375"/>
      <c r="M40" s="375"/>
      <c r="N40" s="375"/>
      <c r="O40" s="375"/>
      <c r="P40" s="375"/>
      <c r="Q40" s="375"/>
      <c r="R40" s="375"/>
      <c r="S40" s="375"/>
      <c r="T40" s="375"/>
      <c r="U40" s="375"/>
      <c r="V40" s="375"/>
      <c r="W40" s="375"/>
      <c r="X40" s="375"/>
      <c r="Y40" s="375"/>
      <c r="Z40" s="375"/>
      <c r="AA40" s="375"/>
      <c r="AB40" s="375"/>
      <c r="AC40" s="396"/>
      <c r="AD40" s="360"/>
      <c r="AE40" s="360"/>
      <c r="AF40" s="360"/>
      <c r="AG40" s="360"/>
      <c r="AH40" s="360"/>
      <c r="AI40" s="360"/>
      <c r="AJ40" s="360"/>
      <c r="AK40" s="360"/>
    </row>
    <row r="41" spans="1:37" hidden="1" x14ac:dyDescent="0.25">
      <c r="A41" s="390"/>
      <c r="B41" s="369"/>
      <c r="C41" s="369"/>
      <c r="D41" s="369" t="s">
        <v>847</v>
      </c>
      <c r="E41" s="379">
        <v>43275</v>
      </c>
      <c r="F41" s="380">
        <v>44636</v>
      </c>
      <c r="G41" s="381">
        <v>45791</v>
      </c>
      <c r="H41" s="421"/>
      <c r="I41" s="375"/>
      <c r="J41" s="375"/>
      <c r="K41" s="375"/>
      <c r="L41" s="375"/>
      <c r="M41" s="375"/>
      <c r="N41" s="375"/>
      <c r="O41" s="375"/>
      <c r="P41" s="375"/>
      <c r="Q41" s="375"/>
      <c r="R41" s="375"/>
      <c r="S41" s="375"/>
      <c r="T41" s="375"/>
      <c r="U41" s="375"/>
      <c r="V41" s="375"/>
      <c r="W41" s="375"/>
      <c r="X41" s="375"/>
      <c r="Y41" s="375"/>
      <c r="Z41" s="375"/>
      <c r="AA41" s="375"/>
      <c r="AB41" s="375"/>
      <c r="AC41" s="396"/>
      <c r="AD41" s="360"/>
      <c r="AE41" s="360"/>
      <c r="AF41" s="360"/>
      <c r="AG41" s="360"/>
      <c r="AH41" s="360"/>
      <c r="AI41" s="360"/>
      <c r="AJ41" s="360"/>
      <c r="AK41" s="360"/>
    </row>
    <row r="42" spans="1:37" hidden="1" x14ac:dyDescent="0.25">
      <c r="A42" s="390"/>
      <c r="B42" s="369"/>
      <c r="C42" s="369"/>
      <c r="D42" s="369" t="s">
        <v>778</v>
      </c>
      <c r="E42" s="379">
        <v>26864</v>
      </c>
      <c r="F42" s="380">
        <v>27200</v>
      </c>
      <c r="G42" s="381">
        <v>27946</v>
      </c>
      <c r="H42" s="421"/>
      <c r="I42" s="375"/>
      <c r="J42" s="375"/>
      <c r="K42" s="375"/>
      <c r="L42" s="375"/>
      <c r="M42" s="375"/>
      <c r="N42" s="375"/>
      <c r="O42" s="375"/>
      <c r="P42" s="375"/>
      <c r="Q42" s="375"/>
      <c r="R42" s="375"/>
      <c r="S42" s="375"/>
      <c r="T42" s="375"/>
      <c r="U42" s="375"/>
      <c r="V42" s="375"/>
      <c r="W42" s="375"/>
      <c r="X42" s="375"/>
      <c r="Y42" s="375"/>
      <c r="Z42" s="375"/>
      <c r="AA42" s="375"/>
      <c r="AB42" s="375"/>
      <c r="AC42" s="396"/>
      <c r="AD42" s="360"/>
      <c r="AE42" s="360"/>
      <c r="AF42" s="360"/>
      <c r="AG42" s="360"/>
      <c r="AH42" s="360"/>
      <c r="AI42" s="360"/>
      <c r="AJ42" s="360"/>
      <c r="AK42" s="360"/>
    </row>
    <row r="43" spans="1:37" hidden="1" x14ac:dyDescent="0.25">
      <c r="A43" s="390"/>
      <c r="B43" s="369"/>
      <c r="C43" s="369"/>
      <c r="D43" s="369" t="s">
        <v>841</v>
      </c>
      <c r="E43" s="379">
        <v>9570</v>
      </c>
      <c r="F43" s="380">
        <v>9904</v>
      </c>
      <c r="G43" s="381">
        <v>10389</v>
      </c>
      <c r="H43" s="421"/>
      <c r="I43" s="375"/>
      <c r="J43" s="375"/>
      <c r="K43" s="375"/>
      <c r="L43" s="375"/>
      <c r="M43" s="375"/>
      <c r="N43" s="375"/>
      <c r="O43" s="375"/>
      <c r="P43" s="375"/>
      <c r="Q43" s="375"/>
      <c r="R43" s="375"/>
      <c r="S43" s="375"/>
      <c r="T43" s="375"/>
      <c r="U43" s="375"/>
      <c r="V43" s="375"/>
      <c r="W43" s="375"/>
      <c r="X43" s="375"/>
      <c r="Y43" s="375"/>
      <c r="Z43" s="375"/>
      <c r="AA43" s="375"/>
      <c r="AB43" s="375"/>
      <c r="AC43" s="396"/>
      <c r="AD43" s="360"/>
      <c r="AE43" s="360"/>
      <c r="AF43" s="360"/>
      <c r="AG43" s="360"/>
      <c r="AH43" s="360"/>
      <c r="AI43" s="360"/>
      <c r="AJ43" s="360"/>
      <c r="AK43" s="360"/>
    </row>
    <row r="44" spans="1:37" hidden="1" x14ac:dyDescent="0.25">
      <c r="A44" s="390"/>
      <c r="B44" s="369"/>
      <c r="C44" s="369"/>
      <c r="D44" s="369" t="s">
        <v>720</v>
      </c>
      <c r="E44" s="379">
        <v>8388</v>
      </c>
      <c r="F44" s="380">
        <v>8436</v>
      </c>
      <c r="G44" s="381">
        <v>8298</v>
      </c>
      <c r="H44" s="421"/>
      <c r="I44" s="375"/>
      <c r="J44" s="375"/>
      <c r="K44" s="375"/>
      <c r="L44" s="375"/>
      <c r="M44" s="375"/>
      <c r="N44" s="375"/>
      <c r="O44" s="375"/>
      <c r="P44" s="375"/>
      <c r="Q44" s="375"/>
      <c r="R44" s="375"/>
      <c r="S44" s="375"/>
      <c r="T44" s="375"/>
      <c r="U44" s="375"/>
      <c r="V44" s="375"/>
      <c r="W44" s="375"/>
      <c r="X44" s="375"/>
      <c r="Y44" s="375"/>
      <c r="Z44" s="375"/>
      <c r="AA44" s="375"/>
      <c r="AB44" s="375"/>
      <c r="AC44" s="396"/>
      <c r="AD44" s="360"/>
      <c r="AE44" s="360"/>
      <c r="AF44" s="360"/>
      <c r="AG44" s="360"/>
      <c r="AH44" s="360"/>
      <c r="AI44" s="360"/>
      <c r="AJ44" s="360"/>
      <c r="AK44" s="360"/>
    </row>
    <row r="45" spans="1:37" hidden="1" x14ac:dyDescent="0.25">
      <c r="A45" s="390"/>
      <c r="B45" s="369"/>
      <c r="C45" s="369"/>
      <c r="D45" s="369" t="s">
        <v>848</v>
      </c>
      <c r="E45" s="382">
        <v>4</v>
      </c>
      <c r="F45" s="383">
        <v>4</v>
      </c>
      <c r="G45" s="384">
        <v>4</v>
      </c>
      <c r="H45" s="421"/>
      <c r="I45" s="375"/>
      <c r="J45" s="375"/>
      <c r="K45" s="375"/>
      <c r="L45" s="375"/>
      <c r="M45" s="375"/>
      <c r="N45" s="375"/>
      <c r="O45" s="375"/>
      <c r="P45" s="375"/>
      <c r="Q45" s="375"/>
      <c r="R45" s="375"/>
      <c r="S45" s="375"/>
      <c r="T45" s="375"/>
      <c r="U45" s="375"/>
      <c r="V45" s="375"/>
      <c r="W45" s="375"/>
      <c r="X45" s="375"/>
      <c r="Y45" s="375"/>
      <c r="Z45" s="375"/>
      <c r="AA45" s="375"/>
      <c r="AB45" s="375"/>
      <c r="AC45" s="396"/>
      <c r="AD45" s="360"/>
      <c r="AE45" s="360"/>
      <c r="AF45" s="360"/>
      <c r="AG45" s="360"/>
      <c r="AH45" s="360"/>
      <c r="AI45" s="360"/>
      <c r="AJ45" s="360"/>
      <c r="AK45" s="360"/>
    </row>
    <row r="46" spans="1:37" hidden="1" x14ac:dyDescent="0.25">
      <c r="A46" s="390"/>
      <c r="B46" s="369"/>
      <c r="C46" s="369"/>
      <c r="D46" s="369" t="s">
        <v>849</v>
      </c>
      <c r="E46" s="382">
        <v>5</v>
      </c>
      <c r="F46" s="383">
        <v>5</v>
      </c>
      <c r="G46" s="384">
        <v>5</v>
      </c>
      <c r="H46" s="421"/>
      <c r="I46" s="375"/>
      <c r="J46" s="375"/>
      <c r="K46" s="375"/>
      <c r="L46" s="375"/>
      <c r="M46" s="375"/>
      <c r="N46" s="375"/>
      <c r="O46" s="375"/>
      <c r="P46" s="375"/>
      <c r="Q46" s="375"/>
      <c r="R46" s="375"/>
      <c r="S46" s="375"/>
      <c r="T46" s="375"/>
      <c r="U46" s="375"/>
      <c r="V46" s="375"/>
      <c r="W46" s="375"/>
      <c r="X46" s="375"/>
      <c r="Y46" s="375"/>
      <c r="Z46" s="375"/>
      <c r="AA46" s="375"/>
      <c r="AB46" s="375"/>
      <c r="AC46" s="396"/>
      <c r="AD46" s="360"/>
      <c r="AE46" s="360"/>
      <c r="AF46" s="360"/>
      <c r="AG46" s="360"/>
      <c r="AH46" s="360"/>
      <c r="AI46" s="360"/>
      <c r="AJ46" s="360"/>
      <c r="AK46" s="360"/>
    </row>
    <row r="47" spans="1:37" hidden="1" x14ac:dyDescent="0.25">
      <c r="A47" s="390"/>
      <c r="B47" s="369"/>
      <c r="C47" s="369"/>
      <c r="D47" s="369" t="s">
        <v>850</v>
      </c>
      <c r="E47" s="382">
        <v>11</v>
      </c>
      <c r="F47" s="383">
        <v>11</v>
      </c>
      <c r="G47" s="384">
        <v>11</v>
      </c>
      <c r="H47" s="421"/>
      <c r="I47" s="375"/>
      <c r="J47" s="375"/>
      <c r="K47" s="375"/>
      <c r="L47" s="375"/>
      <c r="M47" s="375"/>
      <c r="N47" s="375"/>
      <c r="O47" s="375"/>
      <c r="P47" s="375"/>
      <c r="Q47" s="375"/>
      <c r="R47" s="375"/>
      <c r="S47" s="375"/>
      <c r="T47" s="375"/>
      <c r="U47" s="375"/>
      <c r="V47" s="375"/>
      <c r="W47" s="375"/>
      <c r="X47" s="375"/>
      <c r="Y47" s="375"/>
      <c r="Z47" s="375"/>
      <c r="AA47" s="375"/>
      <c r="AB47" s="375"/>
      <c r="AC47" s="396"/>
      <c r="AD47" s="360"/>
      <c r="AE47" s="360"/>
      <c r="AF47" s="360"/>
      <c r="AG47" s="360"/>
      <c r="AH47" s="360"/>
      <c r="AI47" s="360"/>
      <c r="AJ47" s="360"/>
      <c r="AK47" s="360"/>
    </row>
    <row r="48" spans="1:37" hidden="1" x14ac:dyDescent="0.25">
      <c r="A48" s="390"/>
      <c r="B48" s="369"/>
      <c r="C48" s="369"/>
      <c r="D48" s="369" t="s">
        <v>851</v>
      </c>
      <c r="E48" s="382">
        <v>12</v>
      </c>
      <c r="F48" s="383">
        <v>11</v>
      </c>
      <c r="G48" s="384">
        <v>12</v>
      </c>
      <c r="H48" s="421"/>
      <c r="I48" s="375"/>
      <c r="J48" s="375"/>
      <c r="K48" s="375"/>
      <c r="L48" s="375"/>
      <c r="M48" s="375"/>
      <c r="N48" s="375"/>
      <c r="O48" s="375"/>
      <c r="P48" s="375"/>
      <c r="Q48" s="375"/>
      <c r="R48" s="375"/>
      <c r="S48" s="375"/>
      <c r="T48" s="375"/>
      <c r="U48" s="375"/>
      <c r="V48" s="375"/>
      <c r="W48" s="375"/>
      <c r="X48" s="375"/>
      <c r="Y48" s="375"/>
      <c r="Z48" s="375"/>
      <c r="AA48" s="375"/>
      <c r="AB48" s="375"/>
      <c r="AC48" s="396"/>
      <c r="AD48" s="360"/>
      <c r="AE48" s="360"/>
      <c r="AF48" s="360"/>
      <c r="AG48" s="360"/>
      <c r="AH48" s="360"/>
      <c r="AI48" s="360"/>
      <c r="AJ48" s="360"/>
      <c r="AK48" s="360"/>
    </row>
    <row r="49" spans="1:37" hidden="1" x14ac:dyDescent="0.25">
      <c r="A49" s="390"/>
      <c r="B49" s="369"/>
      <c r="C49" s="369"/>
      <c r="D49" s="369" t="s">
        <v>713</v>
      </c>
      <c r="E49" s="382">
        <v>34</v>
      </c>
      <c r="F49" s="383">
        <v>37</v>
      </c>
      <c r="G49" s="384">
        <v>38</v>
      </c>
      <c r="H49" s="421"/>
      <c r="I49" s="375"/>
      <c r="J49" s="375"/>
      <c r="K49" s="375"/>
      <c r="L49" s="375"/>
      <c r="M49" s="375"/>
      <c r="N49" s="375"/>
      <c r="O49" s="375"/>
      <c r="P49" s="375"/>
      <c r="Q49" s="375"/>
      <c r="R49" s="375"/>
      <c r="S49" s="375"/>
      <c r="T49" s="375"/>
      <c r="U49" s="375"/>
      <c r="V49" s="375"/>
      <c r="W49" s="375"/>
      <c r="X49" s="375"/>
      <c r="Y49" s="375"/>
      <c r="Z49" s="375"/>
      <c r="AA49" s="375"/>
      <c r="AB49" s="375"/>
      <c r="AC49" s="396"/>
      <c r="AD49" s="360"/>
      <c r="AE49" s="360"/>
      <c r="AF49" s="360"/>
      <c r="AG49" s="360"/>
      <c r="AH49" s="360"/>
      <c r="AI49" s="360"/>
      <c r="AJ49" s="360"/>
      <c r="AK49" s="360"/>
    </row>
    <row r="50" spans="1:37" s="620" customFormat="1" hidden="1" x14ac:dyDescent="0.25">
      <c r="A50" s="409"/>
      <c r="B50" s="406"/>
      <c r="C50" s="406"/>
      <c r="D50" s="406"/>
      <c r="E50" s="407">
        <v>2015</v>
      </c>
      <c r="F50" s="407">
        <v>2016</v>
      </c>
      <c r="G50" s="407">
        <v>2017</v>
      </c>
      <c r="H50" s="407"/>
      <c r="I50" s="407"/>
      <c r="J50" s="407"/>
      <c r="K50" s="407"/>
      <c r="L50" s="407"/>
      <c r="M50" s="407"/>
      <c r="N50" s="407"/>
      <c r="O50" s="407"/>
      <c r="P50" s="407"/>
      <c r="Q50" s="407"/>
      <c r="R50" s="407"/>
      <c r="S50" s="407"/>
      <c r="T50" s="407"/>
      <c r="U50" s="407"/>
      <c r="V50" s="407"/>
      <c r="W50" s="407"/>
      <c r="X50" s="407"/>
      <c r="Y50" s="407"/>
      <c r="Z50" s="407"/>
      <c r="AA50" s="407"/>
      <c r="AB50" s="407"/>
      <c r="AC50" s="413"/>
    </row>
    <row r="51" spans="1:37" s="620" customFormat="1" x14ac:dyDescent="0.25">
      <c r="A51" s="422" t="s">
        <v>1559</v>
      </c>
      <c r="B51" s="648" t="s">
        <v>1610</v>
      </c>
      <c r="C51" s="437" t="s">
        <v>1613</v>
      </c>
      <c r="D51" s="436" t="s">
        <v>904</v>
      </c>
      <c r="E51" s="420">
        <f>E27+E39</f>
        <v>6903848</v>
      </c>
      <c r="F51" s="420">
        <f>F27+F39</f>
        <v>7038217</v>
      </c>
      <c r="G51" s="420">
        <f>G27+G39</f>
        <v>7230982</v>
      </c>
      <c r="H51" s="421">
        <v>2015</v>
      </c>
      <c r="I51" s="421">
        <f>I27+I39</f>
        <v>6.903848</v>
      </c>
      <c r="J51" s="421">
        <v>2015</v>
      </c>
      <c r="K51" s="424">
        <v>7.91005</v>
      </c>
      <c r="L51" s="421">
        <f>Table14[[#This Row],[Data reference value]]+Table14[[#This Row],[Data reference value]]*Table14[[#This Row],[Ambitious target improvement rate 2030]]</f>
        <v>9.2511563199999998</v>
      </c>
      <c r="M51" s="421">
        <v>0.34</v>
      </c>
      <c r="N51" s="421">
        <f>(Table14[[#This Row],[Ambitious target 2030]]-Table14[[#This Row],[Model reference value]])*0.5+Table14[[#This Row],[Model reference value]]</f>
        <v>8.580603159999999</v>
      </c>
      <c r="O51" s="421">
        <f>(Table14[[#This Row],[Ambitious target 2030]]-Table14[[#This Row],[Model reference value]])*0.25+Table14[[#This Row],[Model reference value]]</f>
        <v>8.2453265800000004</v>
      </c>
      <c r="P51" s="421">
        <f>Table14[[#This Row],[Model reference value]]</f>
        <v>7.91005</v>
      </c>
      <c r="Q51" s="421">
        <f>Table14[[#This Row],[Data reference value]]+Table14[[#This Row],[Data reference value]]*Table14[[#This Row],[Ambitious target improvement rate 2050]]</f>
        <v>11.046156799999999</v>
      </c>
      <c r="R51" s="421">
        <v>0.6</v>
      </c>
      <c r="S51" s="421">
        <f>(Table14[[#This Row],[Ambitious target 2050]]-Table14[[#This Row],[Model reference value]])*0.5+Table14[[#This Row],[Model reference value]]</f>
        <v>9.4781033999999984</v>
      </c>
      <c r="T51" s="421">
        <f>(Table14[[#This Row],[Ambitious target 2050]]-Table14[[#This Row],[Model reference value]])*0.25+Table14[[#This Row],[Model reference value]]</f>
        <v>8.6940767000000001</v>
      </c>
      <c r="U51" s="421">
        <f>Table14[[#This Row],[Worst value 2030]]</f>
        <v>7.91005</v>
      </c>
      <c r="V51" s="421">
        <f>Table14[[#This Row],[Data reference value]]+Table14[[#This Row],[Data reference value]]*Table14[[#This Row],[Ambitious target improvement rate 2100]]</f>
        <v>12.772118799999999</v>
      </c>
      <c r="W51" s="421">
        <v>0.85</v>
      </c>
      <c r="X51" s="421">
        <f>(Table14[[#This Row],[Ambitious target 2100]]-Table14[[#This Row],[Model reference value]])*0.5+Table14[[#This Row],[Model reference value]]</f>
        <v>10.3410844</v>
      </c>
      <c r="Y51" s="421">
        <f>(Table14[[#This Row],[Ambitious target 2100]]-Table14[[#This Row],[Model reference value]])*0.25+Table14[[#This Row],[Model reference value]]</f>
        <v>9.125567199999999</v>
      </c>
      <c r="Z51" s="421">
        <f>Table14[[#This Row],[Worst value 2030]]</f>
        <v>7.91005</v>
      </c>
      <c r="AA51" s="421" t="s">
        <v>1140</v>
      </c>
      <c r="AB51" s="421" t="s">
        <v>1563</v>
      </c>
      <c r="AC51" s="419" t="s">
        <v>852</v>
      </c>
    </row>
    <row r="52" spans="1:37" s="620" customFormat="1" hidden="1" x14ac:dyDescent="0.25">
      <c r="A52" s="390"/>
      <c r="B52" s="369"/>
      <c r="C52" s="369"/>
      <c r="D52" s="369"/>
      <c r="E52" s="379"/>
      <c r="F52" s="380"/>
      <c r="G52" s="381"/>
      <c r="H52" s="421"/>
      <c r="I52" s="375"/>
      <c r="J52" s="375"/>
      <c r="K52" s="375"/>
      <c r="L52" s="375"/>
      <c r="M52" s="375"/>
      <c r="N52" s="375"/>
      <c r="O52" s="375"/>
      <c r="P52" s="375"/>
      <c r="Q52" s="375"/>
      <c r="R52" s="375"/>
      <c r="S52" s="375"/>
      <c r="T52" s="375"/>
      <c r="U52" s="375"/>
      <c r="V52" s="375"/>
      <c r="W52" s="375"/>
      <c r="X52" s="375"/>
      <c r="Y52" s="375"/>
      <c r="Z52" s="375"/>
      <c r="AA52" s="375"/>
      <c r="AB52" s="375"/>
      <c r="AC52" s="396"/>
    </row>
    <row r="53" spans="1:37" s="620" customFormat="1" hidden="1" x14ac:dyDescent="0.25">
      <c r="A53" s="390"/>
      <c r="B53" s="369"/>
      <c r="C53" s="369"/>
      <c r="D53" s="369"/>
      <c r="E53" s="379"/>
      <c r="F53" s="380"/>
      <c r="G53" s="381"/>
      <c r="H53" s="421"/>
      <c r="I53" s="375"/>
      <c r="J53" s="375"/>
      <c r="K53" s="375"/>
      <c r="L53" s="375"/>
      <c r="M53" s="375"/>
      <c r="N53" s="375"/>
      <c r="O53" s="375"/>
      <c r="P53" s="375"/>
      <c r="Q53" s="375"/>
      <c r="R53" s="375"/>
      <c r="S53" s="375"/>
      <c r="T53" s="375"/>
      <c r="U53" s="375"/>
      <c r="V53" s="375"/>
      <c r="W53" s="375"/>
      <c r="X53" s="375"/>
      <c r="Y53" s="375"/>
      <c r="Z53" s="375"/>
      <c r="AA53" s="375"/>
      <c r="AB53" s="375"/>
      <c r="AC53" s="396"/>
    </row>
    <row r="54" spans="1:37" s="620" customFormat="1" hidden="1" x14ac:dyDescent="0.25">
      <c r="A54" s="390"/>
      <c r="B54" s="369"/>
      <c r="C54" s="369"/>
      <c r="D54" s="369"/>
      <c r="E54" s="379"/>
      <c r="F54" s="380"/>
      <c r="G54" s="381"/>
      <c r="H54" s="421"/>
      <c r="I54" s="375"/>
      <c r="J54" s="375"/>
      <c r="K54" s="375"/>
      <c r="L54" s="375"/>
      <c r="M54" s="375"/>
      <c r="N54" s="375"/>
      <c r="O54" s="375"/>
      <c r="P54" s="375"/>
      <c r="Q54" s="375"/>
      <c r="R54" s="375"/>
      <c r="S54" s="375"/>
      <c r="T54" s="375"/>
      <c r="U54" s="375"/>
      <c r="V54" s="375"/>
      <c r="W54" s="375"/>
      <c r="X54" s="375"/>
      <c r="Y54" s="375"/>
      <c r="Z54" s="375"/>
      <c r="AA54" s="375"/>
      <c r="AB54" s="375"/>
      <c r="AC54" s="396"/>
    </row>
    <row r="55" spans="1:37" s="620" customFormat="1" hidden="1" x14ac:dyDescent="0.25">
      <c r="A55" s="390"/>
      <c r="B55" s="369"/>
      <c r="C55" s="369"/>
      <c r="D55" s="369"/>
      <c r="E55" s="379"/>
      <c r="F55" s="380"/>
      <c r="G55" s="381"/>
      <c r="H55" s="421"/>
      <c r="I55" s="375"/>
      <c r="J55" s="375"/>
      <c r="K55" s="375"/>
      <c r="L55" s="375"/>
      <c r="M55" s="375"/>
      <c r="N55" s="375"/>
      <c r="O55" s="375"/>
      <c r="P55" s="375"/>
      <c r="Q55" s="375"/>
      <c r="R55" s="375"/>
      <c r="S55" s="375"/>
      <c r="T55" s="375"/>
      <c r="U55" s="375"/>
      <c r="V55" s="375"/>
      <c r="W55" s="375"/>
      <c r="X55" s="375"/>
      <c r="Y55" s="375"/>
      <c r="Z55" s="375"/>
      <c r="AA55" s="375"/>
      <c r="AB55" s="375"/>
      <c r="AC55" s="396"/>
    </row>
    <row r="56" spans="1:37" s="620" customFormat="1" hidden="1" x14ac:dyDescent="0.25">
      <c r="A56" s="390"/>
      <c r="B56" s="369"/>
      <c r="C56" s="369"/>
      <c r="D56" s="369"/>
      <c r="E56" s="379"/>
      <c r="F56" s="380"/>
      <c r="G56" s="381"/>
      <c r="H56" s="421"/>
      <c r="I56" s="375"/>
      <c r="J56" s="375"/>
      <c r="K56" s="375"/>
      <c r="L56" s="375"/>
      <c r="M56" s="375"/>
      <c r="N56" s="375"/>
      <c r="O56" s="375"/>
      <c r="P56" s="375"/>
      <c r="Q56" s="375"/>
      <c r="R56" s="375"/>
      <c r="S56" s="375"/>
      <c r="T56" s="375"/>
      <c r="U56" s="375"/>
      <c r="V56" s="375"/>
      <c r="W56" s="375"/>
      <c r="X56" s="375"/>
      <c r="Y56" s="375"/>
      <c r="Z56" s="375"/>
      <c r="AA56" s="375"/>
      <c r="AB56" s="375"/>
      <c r="AC56" s="396"/>
    </row>
    <row r="57" spans="1:37" s="620" customFormat="1" hidden="1" x14ac:dyDescent="0.25">
      <c r="A57" s="390"/>
      <c r="B57" s="369"/>
      <c r="C57" s="369"/>
      <c r="D57" s="369"/>
      <c r="E57" s="382"/>
      <c r="F57" s="383"/>
      <c r="G57" s="384"/>
      <c r="H57" s="421"/>
      <c r="I57" s="375"/>
      <c r="J57" s="375"/>
      <c r="K57" s="375"/>
      <c r="L57" s="375"/>
      <c r="M57" s="375"/>
      <c r="N57" s="375"/>
      <c r="O57" s="375"/>
      <c r="P57" s="375"/>
      <c r="Q57" s="375"/>
      <c r="R57" s="375"/>
      <c r="S57" s="375"/>
      <c r="T57" s="375"/>
      <c r="U57" s="375"/>
      <c r="V57" s="375"/>
      <c r="W57" s="375"/>
      <c r="X57" s="375"/>
      <c r="Y57" s="375"/>
      <c r="Z57" s="375"/>
      <c r="AA57" s="375"/>
      <c r="AB57" s="375"/>
      <c r="AC57" s="396"/>
    </row>
    <row r="58" spans="1:37" s="620" customFormat="1" hidden="1" x14ac:dyDescent="0.25">
      <c r="A58" s="390"/>
      <c r="B58" s="369"/>
      <c r="C58" s="369"/>
      <c r="D58" s="369"/>
      <c r="E58" s="382"/>
      <c r="F58" s="383"/>
      <c r="G58" s="384"/>
      <c r="H58" s="421"/>
      <c r="I58" s="375"/>
      <c r="J58" s="375"/>
      <c r="K58" s="375"/>
      <c r="L58" s="375"/>
      <c r="M58" s="375"/>
      <c r="N58" s="375"/>
      <c r="O58" s="375"/>
      <c r="P58" s="375"/>
      <c r="Q58" s="375"/>
      <c r="R58" s="375"/>
      <c r="S58" s="375"/>
      <c r="T58" s="375"/>
      <c r="U58" s="375"/>
      <c r="V58" s="375"/>
      <c r="W58" s="375"/>
      <c r="X58" s="375"/>
      <c r="Y58" s="375"/>
      <c r="Z58" s="375"/>
      <c r="AA58" s="375"/>
      <c r="AB58" s="375"/>
      <c r="AC58" s="396"/>
    </row>
    <row r="59" spans="1:37" s="620" customFormat="1" hidden="1" x14ac:dyDescent="0.25">
      <c r="A59" s="390"/>
      <c r="B59" s="369"/>
      <c r="C59" s="369"/>
      <c r="D59" s="369"/>
      <c r="E59" s="382"/>
      <c r="F59" s="383"/>
      <c r="G59" s="384"/>
      <c r="H59" s="421"/>
      <c r="I59" s="375"/>
      <c r="J59" s="375"/>
      <c r="K59" s="375"/>
      <c r="L59" s="375"/>
      <c r="M59" s="375"/>
      <c r="N59" s="375"/>
      <c r="O59" s="375"/>
      <c r="P59" s="375"/>
      <c r="Q59" s="375"/>
      <c r="R59" s="375"/>
      <c r="S59" s="375"/>
      <c r="T59" s="375"/>
      <c r="U59" s="375"/>
      <c r="V59" s="375"/>
      <c r="W59" s="375"/>
      <c r="X59" s="375"/>
      <c r="Y59" s="375"/>
      <c r="Z59" s="375"/>
      <c r="AA59" s="375"/>
      <c r="AB59" s="375"/>
      <c r="AC59" s="396"/>
    </row>
    <row r="60" spans="1:37" s="620" customFormat="1" hidden="1" x14ac:dyDescent="0.25">
      <c r="A60" s="390"/>
      <c r="B60" s="369"/>
      <c r="C60" s="369"/>
      <c r="D60" s="369"/>
      <c r="E60" s="382"/>
      <c r="F60" s="383"/>
      <c r="G60" s="384"/>
      <c r="H60" s="421"/>
      <c r="I60" s="375"/>
      <c r="J60" s="375"/>
      <c r="K60" s="375"/>
      <c r="L60" s="375"/>
      <c r="M60" s="375"/>
      <c r="N60" s="375"/>
      <c r="O60" s="375"/>
      <c r="P60" s="375"/>
      <c r="Q60" s="375"/>
      <c r="R60" s="375"/>
      <c r="S60" s="375"/>
      <c r="T60" s="375"/>
      <c r="U60" s="375"/>
      <c r="V60" s="375"/>
      <c r="W60" s="375"/>
      <c r="X60" s="375"/>
      <c r="Y60" s="375"/>
      <c r="Z60" s="375"/>
      <c r="AA60" s="375"/>
      <c r="AB60" s="375"/>
      <c r="AC60" s="396"/>
    </row>
    <row r="61" spans="1:37" s="620" customFormat="1" hidden="1" x14ac:dyDescent="0.25">
      <c r="A61" s="390"/>
      <c r="B61" s="369"/>
      <c r="C61" s="369"/>
      <c r="D61" s="369"/>
      <c r="E61" s="382"/>
      <c r="F61" s="383"/>
      <c r="G61" s="384"/>
      <c r="H61" s="421"/>
      <c r="I61" s="375"/>
      <c r="J61" s="375"/>
      <c r="K61" s="375"/>
      <c r="L61" s="375"/>
      <c r="M61" s="375"/>
      <c r="N61" s="375"/>
      <c r="O61" s="375"/>
      <c r="P61" s="375"/>
      <c r="Q61" s="375"/>
      <c r="R61" s="375"/>
      <c r="S61" s="375"/>
      <c r="T61" s="375"/>
      <c r="U61" s="375"/>
      <c r="V61" s="375"/>
      <c r="W61" s="375"/>
      <c r="X61" s="375"/>
      <c r="Y61" s="375"/>
      <c r="Z61" s="375"/>
      <c r="AA61" s="375"/>
      <c r="AB61" s="375"/>
      <c r="AC61" s="396"/>
    </row>
    <row r="62" spans="1:37" s="386" customFormat="1" hidden="1" x14ac:dyDescent="0.25">
      <c r="A62" s="409"/>
      <c r="B62" s="406"/>
      <c r="C62" s="406"/>
      <c r="D62" s="406"/>
      <c r="E62" s="407">
        <v>2015</v>
      </c>
      <c r="F62" s="407">
        <v>2016</v>
      </c>
      <c r="G62" s="407">
        <v>2017</v>
      </c>
      <c r="H62" s="407"/>
      <c r="I62" s="407"/>
      <c r="J62" s="407"/>
      <c r="K62" s="407"/>
      <c r="L62" s="407"/>
      <c r="M62" s="407"/>
      <c r="N62" s="407"/>
      <c r="O62" s="407"/>
      <c r="P62" s="407"/>
      <c r="Q62" s="407"/>
      <c r="R62" s="407"/>
      <c r="S62" s="407"/>
      <c r="T62" s="407"/>
      <c r="U62" s="407"/>
      <c r="V62" s="407"/>
      <c r="W62" s="407"/>
      <c r="X62" s="407"/>
      <c r="Y62" s="407"/>
      <c r="Z62" s="407"/>
      <c r="AA62" s="407"/>
      <c r="AB62" s="407"/>
      <c r="AC62" s="413"/>
    </row>
    <row r="63" spans="1:37" x14ac:dyDescent="0.25">
      <c r="A63" s="422" t="s">
        <v>942</v>
      </c>
      <c r="B63" s="437" t="s">
        <v>1067</v>
      </c>
      <c r="C63" s="437" t="s">
        <v>191</v>
      </c>
      <c r="D63" s="436" t="s">
        <v>904</v>
      </c>
      <c r="E63" s="420">
        <v>0.36919999999999997</v>
      </c>
      <c r="F63" s="420">
        <v>0.36880000000000002</v>
      </c>
      <c r="G63" s="420">
        <v>0.37130000000000002</v>
      </c>
      <c r="H63" s="421">
        <v>2015</v>
      </c>
      <c r="I63" s="421">
        <v>0.36919999999999997</v>
      </c>
      <c r="J63" s="421">
        <v>2015</v>
      </c>
      <c r="K63" s="411">
        <v>0.36729400000000001</v>
      </c>
      <c r="L63" s="421">
        <f>Table14[[#This Row],[Data reference value]]+Table14[[#This Row],[Data reference value]]*Table14[[#This Row],[Ambitious target improvement rate 2030]]</f>
        <v>0.33227999999999996</v>
      </c>
      <c r="M63" s="421">
        <v>-0.1</v>
      </c>
      <c r="N63" s="421">
        <f>(Table14[[#This Row],[Ambitious target 2030]]-Table14[[#This Row],[Model reference value]])*0.5+Table14[[#This Row],[Model reference value]]</f>
        <v>0.34978699999999996</v>
      </c>
      <c r="O63" s="421">
        <f>(Table14[[#This Row],[Ambitious target 2030]]-Table14[[#This Row],[Model reference value]])*0.25+Table14[[#This Row],[Model reference value]]</f>
        <v>0.35854049999999998</v>
      </c>
      <c r="P63" s="421">
        <f>Table14[[#This Row],[Model reference value]]</f>
        <v>0.36729400000000001</v>
      </c>
      <c r="Q63" s="421">
        <f>Table14[[#This Row],[Data reference value]]+Table14[[#This Row],[Data reference value]]*Table14[[#This Row],[Ambitious target improvement rate 2050]]</f>
        <v>0.29535999999999996</v>
      </c>
      <c r="R63" s="421">
        <v>-0.2</v>
      </c>
      <c r="S63" s="421">
        <f>(Table14[[#This Row],[Ambitious target 2050]]-Table14[[#This Row],[Model reference value]])*0.5+Table14[[#This Row],[Model reference value]]</f>
        <v>0.33132699999999998</v>
      </c>
      <c r="T63" s="421">
        <f>(Table14[[#This Row],[Ambitious target 2050]]-Table14[[#This Row],[Model reference value]])*0.25+Table14[[#This Row],[Model reference value]]</f>
        <v>0.34931049999999997</v>
      </c>
      <c r="U63" s="421">
        <f>Table14[[#This Row],[Worst value 2030]]</f>
        <v>0.36729400000000001</v>
      </c>
      <c r="V63" s="421">
        <f>Table14[[#This Row],[Data reference value]]+Table14[[#This Row],[Data reference value]]*Table14[[#This Row],[Ambitious target improvement rate 2100]]</f>
        <v>0.25844</v>
      </c>
      <c r="W63" s="421">
        <v>-0.3</v>
      </c>
      <c r="X63" s="421">
        <f>(Table14[[#This Row],[Ambitious target 2100]]-Table14[[#This Row],[Model reference value]])*0.5+Table14[[#This Row],[Model reference value]]</f>
        <v>0.31286700000000001</v>
      </c>
      <c r="Y63" s="421">
        <f>(Table14[[#This Row],[Ambitious target 2100]]-Table14[[#This Row],[Model reference value]])*0.25+Table14[[#This Row],[Model reference value]]</f>
        <v>0.34008050000000001</v>
      </c>
      <c r="Z63" s="421">
        <f>Table14[[#This Row],[Worst value 2030]]</f>
        <v>0.36729400000000001</v>
      </c>
      <c r="AA63" s="421" t="s">
        <v>1140</v>
      </c>
      <c r="AB63" s="421" t="s">
        <v>1360</v>
      </c>
      <c r="AC63" s="419" t="s">
        <v>869</v>
      </c>
      <c r="AD63" s="360"/>
      <c r="AE63" s="360"/>
      <c r="AF63" s="360"/>
      <c r="AG63" s="360"/>
      <c r="AH63" s="360"/>
      <c r="AI63" s="360"/>
      <c r="AJ63" s="360"/>
      <c r="AK63" s="360"/>
    </row>
    <row r="64" spans="1:37" hidden="1" x14ac:dyDescent="0.25">
      <c r="A64" s="390"/>
      <c r="B64" s="369"/>
      <c r="C64" s="369"/>
      <c r="D64" s="432" t="s">
        <v>1070</v>
      </c>
      <c r="E64" s="379"/>
      <c r="F64" s="380"/>
      <c r="G64" s="381">
        <v>93.66</v>
      </c>
      <c r="H64" s="421"/>
      <c r="I64" s="375"/>
      <c r="J64" s="375"/>
      <c r="K64" s="375"/>
      <c r="L64" s="375"/>
      <c r="M64" s="375"/>
      <c r="N64" s="375"/>
      <c r="O64" s="375"/>
      <c r="P64" s="375"/>
      <c r="Q64" s="375"/>
      <c r="R64" s="375"/>
      <c r="S64" s="375"/>
      <c r="T64" s="375"/>
      <c r="U64" s="375"/>
      <c r="V64" s="375"/>
      <c r="W64" s="375"/>
      <c r="X64" s="375"/>
      <c r="Y64" s="375"/>
      <c r="Z64" s="375"/>
      <c r="AA64" s="375"/>
      <c r="AB64" s="375"/>
      <c r="AC64" s="396"/>
      <c r="AD64" s="360"/>
      <c r="AE64" s="360"/>
      <c r="AF64" s="360"/>
      <c r="AG64" s="360"/>
      <c r="AH64" s="360"/>
      <c r="AI64" s="360"/>
      <c r="AJ64" s="360"/>
      <c r="AK64" s="360"/>
    </row>
    <row r="65" spans="1:37" hidden="1" x14ac:dyDescent="0.25">
      <c r="A65" s="390"/>
      <c r="B65" s="369"/>
      <c r="C65" s="369"/>
      <c r="D65" s="432" t="s">
        <v>1071</v>
      </c>
      <c r="E65" s="379"/>
      <c r="F65" s="380"/>
      <c r="G65" s="381">
        <v>82.67</v>
      </c>
      <c r="H65" s="421"/>
      <c r="I65" s="375"/>
      <c r="J65" s="375"/>
      <c r="K65" s="375"/>
      <c r="L65" s="375"/>
      <c r="M65" s="375"/>
      <c r="N65" s="375"/>
      <c r="O65" s="375"/>
      <c r="P65" s="375"/>
      <c r="Q65" s="375"/>
      <c r="R65" s="375"/>
      <c r="S65" s="375"/>
      <c r="T65" s="375"/>
      <c r="U65" s="375"/>
      <c r="V65" s="375"/>
      <c r="W65" s="375"/>
      <c r="X65" s="375"/>
      <c r="Y65" s="375"/>
      <c r="Z65" s="375"/>
      <c r="AA65" s="375"/>
      <c r="AB65" s="375"/>
      <c r="AC65" s="396"/>
      <c r="AD65" s="360"/>
      <c r="AE65" s="360"/>
      <c r="AF65" s="360"/>
      <c r="AG65" s="360"/>
      <c r="AH65" s="360"/>
      <c r="AI65" s="360"/>
      <c r="AJ65" s="360"/>
      <c r="AK65" s="360"/>
    </row>
    <row r="66" spans="1:37" hidden="1" x14ac:dyDescent="0.25">
      <c r="A66" s="390"/>
      <c r="B66" s="369"/>
      <c r="C66" s="369"/>
      <c r="D66" s="432" t="s">
        <v>1072</v>
      </c>
      <c r="E66" s="379"/>
      <c r="F66" s="380"/>
      <c r="G66" s="381">
        <v>80.760000000000005</v>
      </c>
      <c r="H66" s="421"/>
      <c r="I66" s="375"/>
      <c r="J66" s="375"/>
      <c r="K66" s="375"/>
      <c r="L66" s="375"/>
      <c r="M66" s="375"/>
      <c r="N66" s="375"/>
      <c r="O66" s="375"/>
      <c r="P66" s="375"/>
      <c r="Q66" s="375"/>
      <c r="R66" s="375"/>
      <c r="S66" s="375"/>
      <c r="T66" s="375"/>
      <c r="U66" s="375"/>
      <c r="V66" s="375"/>
      <c r="W66" s="375"/>
      <c r="X66" s="375"/>
      <c r="Y66" s="375"/>
      <c r="Z66" s="375"/>
      <c r="AA66" s="375"/>
      <c r="AB66" s="375"/>
      <c r="AC66" s="396"/>
      <c r="AD66" s="360"/>
      <c r="AE66" s="360"/>
      <c r="AF66" s="360"/>
      <c r="AG66" s="360"/>
      <c r="AH66" s="360"/>
      <c r="AI66" s="360"/>
      <c r="AJ66" s="360"/>
      <c r="AK66" s="360"/>
    </row>
    <row r="67" spans="1:37" hidden="1" x14ac:dyDescent="0.25">
      <c r="A67" s="390"/>
      <c r="B67" s="369"/>
      <c r="C67" s="369"/>
      <c r="D67" s="432" t="s">
        <v>677</v>
      </c>
      <c r="E67" s="379"/>
      <c r="F67" s="380"/>
      <c r="G67" s="381">
        <v>80.38</v>
      </c>
      <c r="H67" s="421"/>
      <c r="I67" s="375"/>
      <c r="J67" s="375"/>
      <c r="K67" s="375"/>
      <c r="L67" s="375"/>
      <c r="M67" s="375"/>
      <c r="N67" s="375"/>
      <c r="O67" s="375"/>
      <c r="P67" s="375"/>
      <c r="Q67" s="375"/>
      <c r="R67" s="375"/>
      <c r="S67" s="375"/>
      <c r="T67" s="375"/>
      <c r="U67" s="375"/>
      <c r="V67" s="375"/>
      <c r="W67" s="375"/>
      <c r="X67" s="375"/>
      <c r="Y67" s="375"/>
      <c r="Z67" s="375"/>
      <c r="AA67" s="375"/>
      <c r="AB67" s="375"/>
      <c r="AC67" s="396"/>
      <c r="AD67" s="360"/>
      <c r="AE67" s="360"/>
      <c r="AF67" s="360"/>
      <c r="AG67" s="360"/>
      <c r="AH67" s="360"/>
      <c r="AI67" s="360"/>
      <c r="AJ67" s="360"/>
      <c r="AK67" s="360"/>
    </row>
    <row r="68" spans="1:37" hidden="1" x14ac:dyDescent="0.25">
      <c r="A68" s="390"/>
      <c r="B68" s="369"/>
      <c r="C68" s="369"/>
      <c r="D68" s="432" t="s">
        <v>1073</v>
      </c>
      <c r="E68" s="379"/>
      <c r="F68" s="380"/>
      <c r="G68" s="381">
        <v>79.64</v>
      </c>
      <c r="H68" s="421"/>
      <c r="I68" s="375"/>
      <c r="J68" s="375"/>
      <c r="K68" s="375"/>
      <c r="L68" s="375"/>
      <c r="M68" s="375"/>
      <c r="N68" s="375"/>
      <c r="O68" s="375"/>
      <c r="P68" s="375"/>
      <c r="Q68" s="375"/>
      <c r="R68" s="375"/>
      <c r="S68" s="375"/>
      <c r="T68" s="375"/>
      <c r="U68" s="375"/>
      <c r="V68" s="375"/>
      <c r="W68" s="375"/>
      <c r="X68" s="375"/>
      <c r="Y68" s="375"/>
      <c r="Z68" s="375"/>
      <c r="AA68" s="375"/>
      <c r="AB68" s="375"/>
      <c r="AC68" s="396"/>
      <c r="AD68" s="360"/>
      <c r="AE68" s="360"/>
      <c r="AF68" s="360"/>
      <c r="AG68" s="360"/>
      <c r="AH68" s="360"/>
      <c r="AI68" s="360"/>
      <c r="AJ68" s="360"/>
      <c r="AK68" s="360"/>
    </row>
    <row r="69" spans="1:37" hidden="1" x14ac:dyDescent="0.25">
      <c r="A69" s="390"/>
      <c r="B69" s="369"/>
      <c r="C69" s="369"/>
      <c r="D69" s="432" t="s">
        <v>1074</v>
      </c>
      <c r="E69" s="382"/>
      <c r="F69" s="383"/>
      <c r="G69" s="384">
        <v>0.39</v>
      </c>
      <c r="H69" s="421"/>
      <c r="I69" s="375"/>
      <c r="J69" s="375"/>
      <c r="K69" s="375"/>
      <c r="L69" s="375"/>
      <c r="M69" s="375"/>
      <c r="N69" s="375"/>
      <c r="O69" s="375"/>
      <c r="P69" s="375"/>
      <c r="Q69" s="375"/>
      <c r="R69" s="375"/>
      <c r="S69" s="375"/>
      <c r="T69" s="375"/>
      <c r="U69" s="375"/>
      <c r="V69" s="375"/>
      <c r="W69" s="375"/>
      <c r="X69" s="375"/>
      <c r="Y69" s="375"/>
      <c r="Z69" s="375"/>
      <c r="AA69" s="375"/>
      <c r="AB69" s="375"/>
      <c r="AC69" s="396"/>
      <c r="AD69" s="360"/>
      <c r="AE69" s="360"/>
      <c r="AF69" s="360"/>
      <c r="AG69" s="360"/>
      <c r="AH69" s="360"/>
      <c r="AI69" s="360"/>
      <c r="AJ69" s="360"/>
      <c r="AK69" s="360"/>
    </row>
    <row r="70" spans="1:37" hidden="1" x14ac:dyDescent="0.25">
      <c r="A70" s="390"/>
      <c r="B70" s="369"/>
      <c r="C70" s="369"/>
      <c r="D70" s="432" t="s">
        <v>1075</v>
      </c>
      <c r="E70" s="382"/>
      <c r="F70" s="383"/>
      <c r="G70" s="384">
        <v>0.56000000000000005</v>
      </c>
      <c r="H70" s="421"/>
      <c r="I70" s="375"/>
      <c r="J70" s="375"/>
      <c r="K70" s="375"/>
      <c r="L70" s="375"/>
      <c r="M70" s="375"/>
      <c r="N70" s="375"/>
      <c r="O70" s="375"/>
      <c r="P70" s="375"/>
      <c r="Q70" s="375"/>
      <c r="R70" s="375"/>
      <c r="S70" s="375"/>
      <c r="T70" s="375"/>
      <c r="U70" s="375"/>
      <c r="V70" s="375"/>
      <c r="W70" s="375"/>
      <c r="X70" s="375"/>
      <c r="Y70" s="375"/>
      <c r="Z70" s="375"/>
      <c r="AA70" s="375"/>
      <c r="AB70" s="375"/>
      <c r="AC70" s="396"/>
      <c r="AD70" s="360"/>
      <c r="AE70" s="360"/>
      <c r="AF70" s="360"/>
      <c r="AG70" s="360"/>
      <c r="AH70" s="360"/>
      <c r="AI70" s="360"/>
      <c r="AJ70" s="360"/>
      <c r="AK70" s="360"/>
    </row>
    <row r="71" spans="1:37" hidden="1" x14ac:dyDescent="0.25">
      <c r="A71" s="390"/>
      <c r="B71" s="369"/>
      <c r="C71" s="369"/>
      <c r="D71" s="432" t="s">
        <v>1076</v>
      </c>
      <c r="E71" s="382"/>
      <c r="F71" s="383"/>
      <c r="G71" s="384">
        <v>0.59</v>
      </c>
      <c r="H71" s="421"/>
      <c r="I71" s="375"/>
      <c r="J71" s="375"/>
      <c r="K71" s="375"/>
      <c r="L71" s="375"/>
      <c r="M71" s="375"/>
      <c r="N71" s="375"/>
      <c r="O71" s="375"/>
      <c r="P71" s="375"/>
      <c r="Q71" s="375"/>
      <c r="R71" s="375"/>
      <c r="S71" s="375"/>
      <c r="T71" s="375"/>
      <c r="U71" s="375"/>
      <c r="V71" s="375"/>
      <c r="W71" s="375"/>
      <c r="X71" s="375"/>
      <c r="Y71" s="375"/>
      <c r="Z71" s="375"/>
      <c r="AA71" s="375"/>
      <c r="AB71" s="375"/>
      <c r="AC71" s="396"/>
      <c r="AD71" s="360"/>
      <c r="AE71" s="360"/>
      <c r="AF71" s="360"/>
      <c r="AG71" s="360"/>
      <c r="AH71" s="360"/>
      <c r="AI71" s="360"/>
      <c r="AJ71" s="360"/>
      <c r="AK71" s="360"/>
    </row>
    <row r="72" spans="1:37" hidden="1" x14ac:dyDescent="0.25">
      <c r="A72" s="390"/>
      <c r="B72" s="369"/>
      <c r="C72" s="369"/>
      <c r="D72" s="432" t="s">
        <v>702</v>
      </c>
      <c r="E72" s="382"/>
      <c r="F72" s="383"/>
      <c r="G72" s="384">
        <v>0.93</v>
      </c>
      <c r="H72" s="421"/>
      <c r="I72" s="375"/>
      <c r="J72" s="375"/>
      <c r="K72" s="375"/>
      <c r="L72" s="375"/>
      <c r="M72" s="375"/>
      <c r="N72" s="375"/>
      <c r="O72" s="375"/>
      <c r="P72" s="375"/>
      <c r="Q72" s="375"/>
      <c r="R72" s="375"/>
      <c r="S72" s="375"/>
      <c r="T72" s="375"/>
      <c r="U72" s="375"/>
      <c r="V72" s="375"/>
      <c r="W72" s="375"/>
      <c r="X72" s="375"/>
      <c r="Y72" s="375"/>
      <c r="Z72" s="375"/>
      <c r="AA72" s="375"/>
      <c r="AB72" s="375"/>
      <c r="AC72" s="396"/>
      <c r="AD72" s="360"/>
      <c r="AE72" s="360"/>
      <c r="AF72" s="360"/>
      <c r="AG72" s="360"/>
      <c r="AH72" s="360"/>
      <c r="AI72" s="360"/>
      <c r="AJ72" s="360"/>
      <c r="AK72" s="360"/>
    </row>
    <row r="73" spans="1:37" hidden="1" x14ac:dyDescent="0.25">
      <c r="A73" s="390"/>
      <c r="B73" s="369"/>
      <c r="C73" s="369"/>
      <c r="D73" s="432" t="s">
        <v>1077</v>
      </c>
      <c r="E73" s="382"/>
      <c r="F73" s="383"/>
      <c r="G73" s="384">
        <v>1.05</v>
      </c>
      <c r="H73" s="421"/>
      <c r="I73" s="375"/>
      <c r="J73" s="375"/>
      <c r="K73" s="375"/>
      <c r="L73" s="375"/>
      <c r="M73" s="375"/>
      <c r="N73" s="375"/>
      <c r="O73" s="375"/>
      <c r="P73" s="375"/>
      <c r="Q73" s="375"/>
      <c r="R73" s="375"/>
      <c r="S73" s="375"/>
      <c r="T73" s="375"/>
      <c r="U73" s="375"/>
      <c r="V73" s="375"/>
      <c r="W73" s="375"/>
      <c r="X73" s="375"/>
      <c r="Y73" s="375"/>
      <c r="Z73" s="375"/>
      <c r="AA73" s="375"/>
      <c r="AB73" s="375"/>
      <c r="AC73" s="396"/>
      <c r="AD73" s="360"/>
      <c r="AE73" s="360"/>
      <c r="AF73" s="360"/>
      <c r="AG73" s="360"/>
      <c r="AH73" s="360"/>
      <c r="AI73" s="360"/>
      <c r="AJ73" s="360"/>
      <c r="AK73" s="360"/>
    </row>
    <row r="74" spans="1:37" s="387" customFormat="1" hidden="1" x14ac:dyDescent="0.25">
      <c r="A74" s="410"/>
      <c r="B74" s="415"/>
      <c r="C74" s="415"/>
      <c r="D74" s="415"/>
      <c r="E74" s="417">
        <v>2005</v>
      </c>
      <c r="F74" s="417">
        <v>2010</v>
      </c>
      <c r="G74" s="417">
        <v>2020</v>
      </c>
      <c r="H74" s="417"/>
      <c r="I74" s="417"/>
      <c r="J74" s="417"/>
      <c r="K74" s="417"/>
      <c r="L74" s="417"/>
      <c r="M74" s="417"/>
      <c r="N74" s="417"/>
      <c r="O74" s="417"/>
      <c r="P74" s="417"/>
      <c r="Q74" s="417"/>
      <c r="R74" s="417"/>
      <c r="S74" s="417"/>
      <c r="T74" s="417"/>
      <c r="U74" s="417"/>
      <c r="V74" s="417"/>
      <c r="W74" s="417"/>
      <c r="X74" s="417"/>
      <c r="Y74" s="417"/>
      <c r="Z74" s="417"/>
      <c r="AA74" s="417"/>
      <c r="AB74" s="417"/>
      <c r="AC74" s="412"/>
    </row>
    <row r="75" spans="1:37" s="362" customFormat="1" x14ac:dyDescent="0.25">
      <c r="A75" s="422" t="s">
        <v>967</v>
      </c>
      <c r="B75" s="436" t="s">
        <v>29</v>
      </c>
      <c r="C75" s="436" t="s">
        <v>965</v>
      </c>
      <c r="D75" s="436" t="s">
        <v>1083</v>
      </c>
      <c r="E75" s="420">
        <v>3425.59</v>
      </c>
      <c r="F75" s="420">
        <v>3417.4110000000001</v>
      </c>
      <c r="G75" s="420">
        <v>3419.1779999999999</v>
      </c>
      <c r="H75" s="421">
        <v>2020</v>
      </c>
      <c r="I75" s="421">
        <v>3419.1779999999999</v>
      </c>
      <c r="J75" s="421">
        <v>2015</v>
      </c>
      <c r="K75" s="411">
        <v>3265.56</v>
      </c>
      <c r="L75" s="421">
        <f>Table14[[#This Row],[Data reference value]]+Table14[[#This Row],[Data reference value]]*Table14[[#This Row],[Ambitious target improvement rate 2030]]</f>
        <v>3077.2601999999997</v>
      </c>
      <c r="M75" s="421">
        <v>-0.1</v>
      </c>
      <c r="N75" s="421">
        <f>(Table14[[#This Row],[Ambitious target 2030]]-Table14[[#This Row],[Model reference value]])*0.5+Table14[[#This Row],[Model reference value]]</f>
        <v>3171.4101000000001</v>
      </c>
      <c r="O75" s="421">
        <f>(Table14[[#This Row],[Ambitious target 2030]]-Table14[[#This Row],[Model reference value]])*0.25+Table14[[#This Row],[Model reference value]]</f>
        <v>3218.4850499999998</v>
      </c>
      <c r="P75" s="421">
        <f>Table14[[#This Row],[Model reference value]]</f>
        <v>3265.56</v>
      </c>
      <c r="Q75" s="421">
        <f>Table14[[#This Row],[Data reference value]]+Table14[[#This Row],[Data reference value]]*Table14[[#This Row],[Ambitious target improvement rate 2050]]</f>
        <v>2735.3424</v>
      </c>
      <c r="R75" s="421">
        <v>-0.2</v>
      </c>
      <c r="S75" s="421">
        <f>(Table14[[#This Row],[Ambitious target 2050]]-Table14[[#This Row],[Model reference value]])*0.5+Table14[[#This Row],[Model reference value]]</f>
        <v>3000.4512</v>
      </c>
      <c r="T75" s="421">
        <f>(Table14[[#This Row],[Ambitious target 2050]]-Table14[[#This Row],[Model reference value]])*0.25+Table14[[#This Row],[Model reference value]]</f>
        <v>3133.0056</v>
      </c>
      <c r="U75" s="421">
        <f>Table14[[#This Row],[Worst value 2030]]</f>
        <v>3265.56</v>
      </c>
      <c r="V75" s="421">
        <f>Table14[[#This Row],[Data reference value]]+Table14[[#This Row],[Data reference value]]*Table14[[#This Row],[Ambitious target improvement rate 2100]]</f>
        <v>2393.4246000000003</v>
      </c>
      <c r="W75" s="421">
        <v>-0.3</v>
      </c>
      <c r="X75" s="421">
        <f>(Table14[[#This Row],[Ambitious target 2100]]-Table14[[#This Row],[Model reference value]])*0.5+Table14[[#This Row],[Model reference value]]</f>
        <v>2829.4922999999999</v>
      </c>
      <c r="Y75" s="421">
        <f>(Table14[[#This Row],[Ambitious target 2100]]-Table14[[#This Row],[Model reference value]])*0.25+Table14[[#This Row],[Model reference value]]</f>
        <v>3047.5261500000001</v>
      </c>
      <c r="Z75" s="421">
        <f>Table14[[#This Row],[Worst value 2030]]</f>
        <v>3265.56</v>
      </c>
      <c r="AA75" s="421" t="s">
        <v>1140</v>
      </c>
      <c r="AB75" s="421" t="s">
        <v>1120</v>
      </c>
      <c r="AC75" s="419" t="s">
        <v>979</v>
      </c>
    </row>
    <row r="76" spans="1:37" s="362" customFormat="1" hidden="1" x14ac:dyDescent="0.25">
      <c r="A76" s="389"/>
      <c r="B76" s="372"/>
      <c r="C76" s="372"/>
      <c r="D76" s="372"/>
      <c r="E76" s="379"/>
      <c r="F76" s="380"/>
      <c r="G76" s="381"/>
      <c r="H76" s="421"/>
      <c r="I76" s="375"/>
      <c r="J76" s="375"/>
      <c r="K76" s="375"/>
      <c r="L76" s="375"/>
      <c r="M76" s="375"/>
      <c r="N76" s="375"/>
      <c r="O76" s="375"/>
      <c r="P76" s="375"/>
      <c r="Q76" s="375"/>
      <c r="R76" s="375"/>
      <c r="S76" s="375"/>
      <c r="T76" s="375"/>
      <c r="U76" s="375"/>
      <c r="V76" s="375"/>
      <c r="W76" s="375"/>
      <c r="X76" s="375"/>
      <c r="Y76" s="375"/>
      <c r="Z76" s="375"/>
      <c r="AA76" s="375"/>
      <c r="AB76" s="375"/>
      <c r="AC76" s="399"/>
    </row>
    <row r="77" spans="1:37" s="362" customFormat="1" hidden="1" x14ac:dyDescent="0.25">
      <c r="A77" s="389"/>
      <c r="B77" s="372"/>
      <c r="C77" s="372"/>
      <c r="D77" s="372"/>
      <c r="E77" s="379"/>
      <c r="F77" s="380"/>
      <c r="G77" s="381"/>
      <c r="H77" s="421"/>
      <c r="I77" s="375"/>
      <c r="J77" s="375"/>
      <c r="K77" s="375"/>
      <c r="L77" s="375"/>
      <c r="M77" s="375"/>
      <c r="N77" s="375"/>
      <c r="O77" s="375"/>
      <c r="P77" s="375"/>
      <c r="Q77" s="375"/>
      <c r="R77" s="375"/>
      <c r="S77" s="375"/>
      <c r="T77" s="375"/>
      <c r="U77" s="375"/>
      <c r="V77" s="375"/>
      <c r="W77" s="375"/>
      <c r="X77" s="375"/>
      <c r="Y77" s="375"/>
      <c r="Z77" s="375"/>
      <c r="AA77" s="375"/>
      <c r="AB77" s="375"/>
      <c r="AC77" s="399"/>
    </row>
    <row r="78" spans="1:37" s="362" customFormat="1" hidden="1" x14ac:dyDescent="0.25">
      <c r="A78" s="389"/>
      <c r="B78" s="372"/>
      <c r="C78" s="372"/>
      <c r="D78" s="372"/>
      <c r="E78" s="379"/>
      <c r="F78" s="380"/>
      <c r="G78" s="381"/>
      <c r="H78" s="421"/>
      <c r="I78" s="375"/>
      <c r="J78" s="375"/>
      <c r="K78" s="375"/>
      <c r="L78" s="375"/>
      <c r="M78" s="375"/>
      <c r="N78" s="375"/>
      <c r="O78" s="375"/>
      <c r="P78" s="375"/>
      <c r="Q78" s="375"/>
      <c r="R78" s="375"/>
      <c r="S78" s="375"/>
      <c r="T78" s="375"/>
      <c r="U78" s="375"/>
      <c r="V78" s="375"/>
      <c r="W78" s="375"/>
      <c r="X78" s="375"/>
      <c r="Y78" s="375"/>
      <c r="Z78" s="375"/>
      <c r="AA78" s="375"/>
      <c r="AB78" s="375"/>
      <c r="AC78" s="399"/>
    </row>
    <row r="79" spans="1:37" s="362" customFormat="1" hidden="1" x14ac:dyDescent="0.25">
      <c r="A79" s="389"/>
      <c r="B79" s="372"/>
      <c r="C79" s="372"/>
      <c r="D79" s="372"/>
      <c r="E79" s="379"/>
      <c r="F79" s="380"/>
      <c r="G79" s="381"/>
      <c r="H79" s="421"/>
      <c r="I79" s="375"/>
      <c r="J79" s="375"/>
      <c r="K79" s="375"/>
      <c r="L79" s="375"/>
      <c r="M79" s="375"/>
      <c r="N79" s="431"/>
      <c r="O79" s="431"/>
      <c r="P79" s="431"/>
      <c r="Q79" s="431"/>
      <c r="R79" s="431"/>
      <c r="S79" s="431"/>
      <c r="T79" s="431"/>
      <c r="U79" s="431"/>
      <c r="V79" s="431"/>
      <c r="W79" s="431"/>
      <c r="X79" s="431"/>
      <c r="Y79" s="431"/>
      <c r="Z79" s="431"/>
      <c r="AA79" s="375"/>
      <c r="AB79" s="375"/>
      <c r="AC79" s="399"/>
    </row>
    <row r="80" spans="1:37" s="362" customFormat="1" hidden="1" x14ac:dyDescent="0.25">
      <c r="A80" s="389"/>
      <c r="B80" s="372"/>
      <c r="C80" s="372"/>
      <c r="D80" s="372"/>
      <c r="E80" s="379"/>
      <c r="F80" s="380"/>
      <c r="G80" s="381"/>
      <c r="H80" s="421"/>
      <c r="I80" s="375"/>
      <c r="J80" s="375"/>
      <c r="K80" s="375"/>
      <c r="L80" s="375"/>
      <c r="M80" s="375"/>
      <c r="N80" s="431"/>
      <c r="O80" s="431"/>
      <c r="P80" s="431"/>
      <c r="Q80" s="431"/>
      <c r="R80" s="431"/>
      <c r="S80" s="431"/>
      <c r="T80" s="431"/>
      <c r="U80" s="431"/>
      <c r="V80" s="431"/>
      <c r="W80" s="431"/>
      <c r="X80" s="431"/>
      <c r="Y80" s="431"/>
      <c r="Z80" s="431"/>
      <c r="AA80" s="375"/>
      <c r="AB80" s="375"/>
      <c r="AC80" s="399"/>
    </row>
    <row r="81" spans="1:29" s="362" customFormat="1" hidden="1" x14ac:dyDescent="0.25">
      <c r="A81" s="389"/>
      <c r="B81" s="372"/>
      <c r="C81" s="372"/>
      <c r="D81" s="372"/>
      <c r="E81" s="382"/>
      <c r="F81" s="383"/>
      <c r="G81" s="384"/>
      <c r="H81" s="421"/>
      <c r="I81" s="375"/>
      <c r="J81" s="375"/>
      <c r="K81" s="375"/>
      <c r="L81" s="375"/>
      <c r="M81" s="375"/>
      <c r="N81" s="375"/>
      <c r="O81" s="375"/>
      <c r="P81" s="375"/>
      <c r="Q81" s="375"/>
      <c r="R81" s="375"/>
      <c r="S81" s="375"/>
      <c r="T81" s="375"/>
      <c r="U81" s="375"/>
      <c r="V81" s="375"/>
      <c r="W81" s="375"/>
      <c r="X81" s="375"/>
      <c r="Y81" s="375"/>
      <c r="Z81" s="375"/>
      <c r="AA81" s="375"/>
      <c r="AB81" s="375"/>
      <c r="AC81" s="399"/>
    </row>
    <row r="82" spans="1:29" s="362" customFormat="1" hidden="1" x14ac:dyDescent="0.25">
      <c r="A82" s="389"/>
      <c r="B82" s="372"/>
      <c r="C82" s="372"/>
      <c r="D82" s="372"/>
      <c r="E82" s="382"/>
      <c r="F82" s="383"/>
      <c r="G82" s="384"/>
      <c r="H82" s="421"/>
      <c r="I82" s="375"/>
      <c r="J82" s="375"/>
      <c r="K82" s="375"/>
      <c r="L82" s="375"/>
      <c r="M82" s="375"/>
      <c r="N82" s="375"/>
      <c r="O82" s="375"/>
      <c r="P82" s="375"/>
      <c r="Q82" s="375"/>
      <c r="R82" s="375"/>
      <c r="S82" s="375"/>
      <c r="T82" s="375"/>
      <c r="U82" s="375"/>
      <c r="V82" s="375"/>
      <c r="W82" s="375"/>
      <c r="X82" s="375"/>
      <c r="Y82" s="375"/>
      <c r="Z82" s="375"/>
      <c r="AA82" s="375"/>
      <c r="AB82" s="375"/>
      <c r="AC82" s="399"/>
    </row>
    <row r="83" spans="1:29" s="362" customFormat="1" hidden="1" x14ac:dyDescent="0.25">
      <c r="A83" s="389"/>
      <c r="B83" s="372"/>
      <c r="C83" s="372"/>
      <c r="D83" s="372"/>
      <c r="E83" s="382"/>
      <c r="F83" s="383"/>
      <c r="G83" s="384"/>
      <c r="H83" s="421"/>
      <c r="I83" s="375"/>
      <c r="J83" s="375"/>
      <c r="K83" s="375"/>
      <c r="L83" s="375"/>
      <c r="M83" s="375"/>
      <c r="N83" s="431"/>
      <c r="O83" s="431"/>
      <c r="P83" s="431"/>
      <c r="Q83" s="431"/>
      <c r="R83" s="431"/>
      <c r="S83" s="431"/>
      <c r="T83" s="431"/>
      <c r="U83" s="431"/>
      <c r="V83" s="431"/>
      <c r="W83" s="431"/>
      <c r="X83" s="431"/>
      <c r="Y83" s="431"/>
      <c r="Z83" s="431"/>
      <c r="AA83" s="375"/>
      <c r="AB83" s="375"/>
      <c r="AC83" s="399"/>
    </row>
    <row r="84" spans="1:29" s="362" customFormat="1" hidden="1" x14ac:dyDescent="0.25">
      <c r="A84" s="389"/>
      <c r="B84" s="372"/>
      <c r="C84" s="372"/>
      <c r="D84" s="372"/>
      <c r="E84" s="382"/>
      <c r="F84" s="383"/>
      <c r="G84" s="384"/>
      <c r="H84" s="421"/>
      <c r="I84" s="375"/>
      <c r="J84" s="375"/>
      <c r="K84" s="375"/>
      <c r="L84" s="375"/>
      <c r="M84" s="375"/>
      <c r="N84" s="431"/>
      <c r="O84" s="431"/>
      <c r="P84" s="431"/>
      <c r="Q84" s="431"/>
      <c r="R84" s="431"/>
      <c r="S84" s="431"/>
      <c r="T84" s="431"/>
      <c r="U84" s="431"/>
      <c r="V84" s="431"/>
      <c r="W84" s="431"/>
      <c r="X84" s="431"/>
      <c r="Y84" s="431"/>
      <c r="Z84" s="431"/>
      <c r="AA84" s="375"/>
      <c r="AB84" s="375"/>
      <c r="AC84" s="399"/>
    </row>
    <row r="85" spans="1:29" s="362" customFormat="1" hidden="1" x14ac:dyDescent="0.25">
      <c r="A85" s="389"/>
      <c r="B85" s="372"/>
      <c r="C85" s="372"/>
      <c r="D85" s="372"/>
      <c r="E85" s="382"/>
      <c r="F85" s="383"/>
      <c r="G85" s="384"/>
      <c r="H85" s="421"/>
      <c r="I85" s="375"/>
      <c r="J85" s="375"/>
      <c r="K85" s="375"/>
      <c r="L85" s="375"/>
      <c r="M85" s="375"/>
      <c r="N85" s="431"/>
      <c r="O85" s="431"/>
      <c r="P85" s="431"/>
      <c r="Q85" s="431"/>
      <c r="R85" s="431"/>
      <c r="S85" s="431"/>
      <c r="T85" s="431"/>
      <c r="U85" s="431"/>
      <c r="V85" s="431"/>
      <c r="W85" s="431"/>
      <c r="X85" s="431"/>
      <c r="Y85" s="431"/>
      <c r="Z85" s="431"/>
      <c r="AA85" s="375"/>
      <c r="AB85" s="375"/>
      <c r="AC85" s="399"/>
    </row>
    <row r="86" spans="1:29" s="387" customFormat="1" hidden="1" x14ac:dyDescent="0.25">
      <c r="A86" s="410"/>
      <c r="B86" s="415"/>
      <c r="C86" s="415"/>
      <c r="D86" s="415"/>
      <c r="E86" s="417">
        <v>2005</v>
      </c>
      <c r="F86" s="417">
        <v>2010</v>
      </c>
      <c r="G86" s="417">
        <v>2020</v>
      </c>
      <c r="H86" s="417"/>
      <c r="I86" s="417"/>
      <c r="J86" s="417"/>
      <c r="K86" s="417"/>
      <c r="L86" s="417"/>
      <c r="M86" s="417"/>
      <c r="N86" s="417"/>
      <c r="O86" s="417"/>
      <c r="P86" s="417"/>
      <c r="Q86" s="417"/>
      <c r="R86" s="417"/>
      <c r="S86" s="417"/>
      <c r="T86" s="417"/>
      <c r="U86" s="417"/>
      <c r="V86" s="417"/>
      <c r="W86" s="417"/>
      <c r="X86" s="417"/>
      <c r="Y86" s="417"/>
      <c r="Z86" s="417"/>
      <c r="AA86" s="417"/>
      <c r="AB86" s="417"/>
      <c r="AC86" s="412"/>
    </row>
    <row r="87" spans="1:29" s="362" customFormat="1" x14ac:dyDescent="0.25">
      <c r="A87" s="422" t="s">
        <v>968</v>
      </c>
      <c r="B87" s="436" t="s">
        <v>27</v>
      </c>
      <c r="C87" s="437" t="s">
        <v>965</v>
      </c>
      <c r="D87" s="436" t="s">
        <v>1083</v>
      </c>
      <c r="E87" s="420">
        <v>1536.067</v>
      </c>
      <c r="F87" s="420">
        <v>1546.1590000000001</v>
      </c>
      <c r="G87" s="420">
        <v>1618.385</v>
      </c>
      <c r="H87" s="421">
        <v>2020</v>
      </c>
      <c r="I87" s="421">
        <v>1618.385</v>
      </c>
      <c r="J87" s="421">
        <v>2015</v>
      </c>
      <c r="K87" s="411">
        <v>1597.23</v>
      </c>
      <c r="L87" s="421">
        <f>Table14[[#This Row],[Data reference value]]+Table14[[#This Row],[Data reference value]]*Table14[[#This Row],[Ambitious target improvement rate 2030]]</f>
        <v>1456.5464999999999</v>
      </c>
      <c r="M87" s="421">
        <v>-0.1</v>
      </c>
      <c r="N87" s="421">
        <f>(Table14[[#This Row],[Ambitious target 2030]]-Table14[[#This Row],[Model reference value]])*0.5+Table14[[#This Row],[Model reference value]]</f>
        <v>1526.88825</v>
      </c>
      <c r="O87" s="421">
        <f>(Table14[[#This Row],[Ambitious target 2030]]-Table14[[#This Row],[Model reference value]])*0.25+Table14[[#This Row],[Model reference value]]</f>
        <v>1562.059125</v>
      </c>
      <c r="P87" s="421">
        <f>Table14[[#This Row],[Model reference value]]</f>
        <v>1597.23</v>
      </c>
      <c r="Q87" s="421">
        <f>Table14[[#This Row],[Data reference value]]+Table14[[#This Row],[Data reference value]]*Table14[[#This Row],[Ambitious target improvement rate 2050]]</f>
        <v>1294.7080000000001</v>
      </c>
      <c r="R87" s="421">
        <v>-0.2</v>
      </c>
      <c r="S87" s="421">
        <f>(Table14[[#This Row],[Ambitious target 2050]]-Table14[[#This Row],[Model reference value]])*0.5+Table14[[#This Row],[Model reference value]]</f>
        <v>1445.9690000000001</v>
      </c>
      <c r="T87" s="421">
        <f>(Table14[[#This Row],[Ambitious target 2050]]-Table14[[#This Row],[Model reference value]])*0.25+Table14[[#This Row],[Model reference value]]</f>
        <v>1521.5995</v>
      </c>
      <c r="U87" s="421">
        <f>Table14[[#This Row],[Worst value 2030]]</f>
        <v>1597.23</v>
      </c>
      <c r="V87" s="421">
        <f>Table14[[#This Row],[Data reference value]]+Table14[[#This Row],[Data reference value]]*Table14[[#This Row],[Ambitious target improvement rate 2100]]</f>
        <v>1132.8695</v>
      </c>
      <c r="W87" s="421">
        <v>-0.3</v>
      </c>
      <c r="X87" s="421">
        <f>(Table14[[#This Row],[Ambitious target 2100]]-Table14[[#This Row],[Model reference value]])*0.5+Table14[[#This Row],[Model reference value]]</f>
        <v>1365.0497500000001</v>
      </c>
      <c r="Y87" s="421">
        <f>(Table14[[#This Row],[Ambitious target 2100]]-Table14[[#This Row],[Model reference value]])*0.25+Table14[[#This Row],[Model reference value]]</f>
        <v>1481.1398750000001</v>
      </c>
      <c r="Z87" s="421">
        <f>Table14[[#This Row],[Worst value 2030]]</f>
        <v>1597.23</v>
      </c>
      <c r="AA87" s="421" t="s">
        <v>1140</v>
      </c>
      <c r="AB87" s="421" t="s">
        <v>1120</v>
      </c>
      <c r="AC87" s="419" t="s">
        <v>979</v>
      </c>
    </row>
    <row r="88" spans="1:29" s="362" customFormat="1" hidden="1" x14ac:dyDescent="0.25">
      <c r="A88" s="389"/>
      <c r="B88" s="372"/>
      <c r="C88" s="372"/>
      <c r="D88" s="372"/>
      <c r="E88" s="379"/>
      <c r="F88" s="380"/>
      <c r="G88" s="381"/>
      <c r="H88" s="421"/>
      <c r="I88" s="375"/>
      <c r="J88" s="375"/>
      <c r="K88" s="375"/>
      <c r="L88" s="375"/>
      <c r="M88" s="375"/>
      <c r="N88" s="375"/>
      <c r="O88" s="375"/>
      <c r="P88" s="375"/>
      <c r="Q88" s="375"/>
      <c r="R88" s="375"/>
      <c r="S88" s="375"/>
      <c r="T88" s="375"/>
      <c r="U88" s="375"/>
      <c r="V88" s="375"/>
      <c r="W88" s="375"/>
      <c r="X88" s="375"/>
      <c r="Y88" s="375"/>
      <c r="Z88" s="375"/>
      <c r="AA88" s="375"/>
      <c r="AB88" s="375"/>
      <c r="AC88" s="399"/>
    </row>
    <row r="89" spans="1:29" s="362" customFormat="1" hidden="1" x14ac:dyDescent="0.25">
      <c r="A89" s="389"/>
      <c r="B89" s="372"/>
      <c r="C89" s="372"/>
      <c r="D89" s="372"/>
      <c r="E89" s="379"/>
      <c r="F89" s="380"/>
      <c r="G89" s="381"/>
      <c r="H89" s="421"/>
      <c r="I89" s="375"/>
      <c r="J89" s="375"/>
      <c r="K89" s="375"/>
      <c r="L89" s="375"/>
      <c r="M89" s="375"/>
      <c r="N89" s="375"/>
      <c r="O89" s="375"/>
      <c r="P89" s="375"/>
      <c r="Q89" s="375"/>
      <c r="R89" s="375"/>
      <c r="S89" s="375"/>
      <c r="T89" s="375"/>
      <c r="U89" s="375"/>
      <c r="V89" s="375"/>
      <c r="W89" s="375"/>
      <c r="X89" s="375"/>
      <c r="Y89" s="375"/>
      <c r="Z89" s="375"/>
      <c r="AA89" s="375"/>
      <c r="AB89" s="375"/>
      <c r="AC89" s="399"/>
    </row>
    <row r="90" spans="1:29" s="362" customFormat="1" hidden="1" x14ac:dyDescent="0.25">
      <c r="A90" s="389"/>
      <c r="B90" s="372"/>
      <c r="C90" s="372"/>
      <c r="D90" s="372"/>
      <c r="E90" s="379"/>
      <c r="F90" s="380"/>
      <c r="G90" s="381"/>
      <c r="H90" s="421"/>
      <c r="I90" s="375"/>
      <c r="J90" s="375"/>
      <c r="K90" s="375"/>
      <c r="L90" s="375"/>
      <c r="M90" s="375"/>
      <c r="N90" s="375"/>
      <c r="O90" s="375"/>
      <c r="P90" s="375"/>
      <c r="Q90" s="375"/>
      <c r="R90" s="375"/>
      <c r="S90" s="375"/>
      <c r="T90" s="375"/>
      <c r="U90" s="375"/>
      <c r="V90" s="375"/>
      <c r="W90" s="375"/>
      <c r="X90" s="375"/>
      <c r="Y90" s="375"/>
      <c r="Z90" s="375"/>
      <c r="AA90" s="375"/>
      <c r="AB90" s="375"/>
      <c r="AC90" s="399"/>
    </row>
    <row r="91" spans="1:29" s="362" customFormat="1" hidden="1" x14ac:dyDescent="0.25">
      <c r="A91" s="389"/>
      <c r="B91" s="372"/>
      <c r="C91" s="372"/>
      <c r="D91" s="372"/>
      <c r="E91" s="379"/>
      <c r="F91" s="380"/>
      <c r="G91" s="381"/>
      <c r="H91" s="421"/>
      <c r="I91" s="375"/>
      <c r="J91" s="375"/>
      <c r="K91" s="375"/>
      <c r="L91" s="375"/>
      <c r="M91" s="375"/>
      <c r="N91" s="431"/>
      <c r="O91" s="431"/>
      <c r="P91" s="431"/>
      <c r="Q91" s="431"/>
      <c r="R91" s="431"/>
      <c r="S91" s="431"/>
      <c r="T91" s="431"/>
      <c r="U91" s="431"/>
      <c r="V91" s="431"/>
      <c r="W91" s="431"/>
      <c r="X91" s="431"/>
      <c r="Y91" s="431"/>
      <c r="Z91" s="431"/>
      <c r="AA91" s="375"/>
      <c r="AB91" s="375"/>
      <c r="AC91" s="399"/>
    </row>
    <row r="92" spans="1:29" s="362" customFormat="1" hidden="1" x14ac:dyDescent="0.25">
      <c r="A92" s="389"/>
      <c r="B92" s="372"/>
      <c r="C92" s="372"/>
      <c r="D92" s="372"/>
      <c r="E92" s="379"/>
      <c r="F92" s="380"/>
      <c r="G92" s="381"/>
      <c r="H92" s="421"/>
      <c r="I92" s="375"/>
      <c r="J92" s="375"/>
      <c r="K92" s="375"/>
      <c r="L92" s="375"/>
      <c r="M92" s="375"/>
      <c r="N92" s="431"/>
      <c r="O92" s="431"/>
      <c r="P92" s="431"/>
      <c r="Q92" s="431"/>
      <c r="R92" s="431"/>
      <c r="S92" s="431"/>
      <c r="T92" s="431"/>
      <c r="U92" s="431"/>
      <c r="V92" s="431"/>
      <c r="W92" s="431"/>
      <c r="X92" s="431"/>
      <c r="Y92" s="431"/>
      <c r="Z92" s="431"/>
      <c r="AA92" s="375"/>
      <c r="AB92" s="375"/>
      <c r="AC92" s="399"/>
    </row>
    <row r="93" spans="1:29" s="362" customFormat="1" hidden="1" x14ac:dyDescent="0.25">
      <c r="A93" s="389"/>
      <c r="B93" s="372"/>
      <c r="C93" s="372"/>
      <c r="D93" s="372"/>
      <c r="E93" s="382"/>
      <c r="F93" s="383"/>
      <c r="G93" s="384"/>
      <c r="H93" s="421"/>
      <c r="I93" s="375"/>
      <c r="J93" s="375"/>
      <c r="K93" s="375"/>
      <c r="L93" s="375"/>
      <c r="M93" s="375"/>
      <c r="N93" s="375"/>
      <c r="O93" s="375"/>
      <c r="P93" s="375"/>
      <c r="Q93" s="375"/>
      <c r="R93" s="375"/>
      <c r="S93" s="375"/>
      <c r="T93" s="375"/>
      <c r="U93" s="375"/>
      <c r="V93" s="375"/>
      <c r="W93" s="375"/>
      <c r="X93" s="375"/>
      <c r="Y93" s="375"/>
      <c r="Z93" s="375"/>
      <c r="AA93" s="375"/>
      <c r="AB93" s="375"/>
      <c r="AC93" s="399"/>
    </row>
    <row r="94" spans="1:29" s="362" customFormat="1" hidden="1" x14ac:dyDescent="0.25">
      <c r="A94" s="389"/>
      <c r="B94" s="372"/>
      <c r="C94" s="372"/>
      <c r="D94" s="372"/>
      <c r="E94" s="382"/>
      <c r="F94" s="383"/>
      <c r="G94" s="384"/>
      <c r="H94" s="421"/>
      <c r="I94" s="375"/>
      <c r="J94" s="375"/>
      <c r="K94" s="375"/>
      <c r="L94" s="375"/>
      <c r="M94" s="375"/>
      <c r="N94" s="375"/>
      <c r="O94" s="375"/>
      <c r="P94" s="375"/>
      <c r="Q94" s="375"/>
      <c r="R94" s="375"/>
      <c r="S94" s="375"/>
      <c r="T94" s="375"/>
      <c r="U94" s="375"/>
      <c r="V94" s="375"/>
      <c r="W94" s="375"/>
      <c r="X94" s="375"/>
      <c r="Y94" s="375"/>
      <c r="Z94" s="375"/>
      <c r="AA94" s="375"/>
      <c r="AB94" s="375"/>
      <c r="AC94" s="399"/>
    </row>
    <row r="95" spans="1:29" s="362" customFormat="1" hidden="1" x14ac:dyDescent="0.25">
      <c r="A95" s="389"/>
      <c r="B95" s="372"/>
      <c r="C95" s="372"/>
      <c r="D95" s="372"/>
      <c r="E95" s="382"/>
      <c r="F95" s="383"/>
      <c r="G95" s="384"/>
      <c r="H95" s="421"/>
      <c r="I95" s="375"/>
      <c r="J95" s="375"/>
      <c r="K95" s="375"/>
      <c r="L95" s="375"/>
      <c r="M95" s="375"/>
      <c r="N95" s="431"/>
      <c r="O95" s="431"/>
      <c r="P95" s="431"/>
      <c r="Q95" s="431"/>
      <c r="R95" s="431"/>
      <c r="S95" s="431"/>
      <c r="T95" s="431"/>
      <c r="U95" s="431"/>
      <c r="V95" s="431"/>
      <c r="W95" s="431"/>
      <c r="X95" s="431"/>
      <c r="Y95" s="431"/>
      <c r="Z95" s="431"/>
      <c r="AA95" s="375"/>
      <c r="AB95" s="375"/>
      <c r="AC95" s="399"/>
    </row>
    <row r="96" spans="1:29" s="362" customFormat="1" hidden="1" x14ac:dyDescent="0.25">
      <c r="A96" s="389"/>
      <c r="B96" s="372"/>
      <c r="C96" s="372"/>
      <c r="D96" s="372"/>
      <c r="E96" s="382"/>
      <c r="F96" s="383"/>
      <c r="G96" s="384"/>
      <c r="H96" s="421"/>
      <c r="I96" s="375"/>
      <c r="J96" s="375"/>
      <c r="K96" s="375"/>
      <c r="L96" s="375"/>
      <c r="M96" s="375"/>
      <c r="N96" s="431"/>
      <c r="O96" s="431"/>
      <c r="P96" s="431"/>
      <c r="Q96" s="431"/>
      <c r="R96" s="431"/>
      <c r="S96" s="431"/>
      <c r="T96" s="431"/>
      <c r="U96" s="431"/>
      <c r="V96" s="431"/>
      <c r="W96" s="431"/>
      <c r="X96" s="431"/>
      <c r="Y96" s="431"/>
      <c r="Z96" s="431"/>
      <c r="AA96" s="375"/>
      <c r="AB96" s="375"/>
      <c r="AC96" s="399"/>
    </row>
    <row r="97" spans="1:37" s="362" customFormat="1" hidden="1" x14ac:dyDescent="0.25">
      <c r="A97" s="389"/>
      <c r="B97" s="372"/>
      <c r="C97" s="372"/>
      <c r="D97" s="372"/>
      <c r="E97" s="382"/>
      <c r="F97" s="383"/>
      <c r="G97" s="384"/>
      <c r="H97" s="421"/>
      <c r="I97" s="375"/>
      <c r="J97" s="375"/>
      <c r="K97" s="375"/>
      <c r="L97" s="375"/>
      <c r="M97" s="375"/>
      <c r="N97" s="431"/>
      <c r="O97" s="431"/>
      <c r="P97" s="431"/>
      <c r="Q97" s="431"/>
      <c r="R97" s="431"/>
      <c r="S97" s="431"/>
      <c r="T97" s="431"/>
      <c r="U97" s="431"/>
      <c r="V97" s="431"/>
      <c r="W97" s="431"/>
      <c r="X97" s="431"/>
      <c r="Y97" s="431"/>
      <c r="Z97" s="431"/>
      <c r="AA97" s="375"/>
      <c r="AB97" s="375"/>
      <c r="AC97" s="399"/>
    </row>
    <row r="98" spans="1:37" s="386" customFormat="1" hidden="1" x14ac:dyDescent="0.25">
      <c r="A98" s="409"/>
      <c r="B98" s="406"/>
      <c r="C98" s="406"/>
      <c r="D98" s="406"/>
      <c r="E98" s="407">
        <v>2016</v>
      </c>
      <c r="F98" s="407">
        <v>2017</v>
      </c>
      <c r="G98" s="407">
        <v>2018</v>
      </c>
      <c r="H98" s="407"/>
      <c r="I98" s="407"/>
      <c r="J98" s="407"/>
      <c r="K98" s="407"/>
      <c r="L98" s="407"/>
      <c r="M98" s="407"/>
      <c r="N98" s="407"/>
      <c r="O98" s="407"/>
      <c r="P98" s="407"/>
      <c r="Q98" s="407"/>
      <c r="R98" s="407"/>
      <c r="S98" s="407"/>
      <c r="T98" s="407"/>
      <c r="U98" s="407"/>
      <c r="V98" s="407"/>
      <c r="W98" s="407"/>
      <c r="X98" s="407"/>
      <c r="Y98" s="407"/>
      <c r="Z98" s="407"/>
      <c r="AA98" s="407"/>
      <c r="AB98" s="407"/>
      <c r="AC98" s="413"/>
    </row>
    <row r="99" spans="1:37" x14ac:dyDescent="0.25">
      <c r="A99" s="422" t="s">
        <v>549</v>
      </c>
      <c r="B99" s="437" t="s">
        <v>547</v>
      </c>
      <c r="C99" s="437" t="s">
        <v>219</v>
      </c>
      <c r="D99" s="436" t="s">
        <v>904</v>
      </c>
      <c r="E99" s="420">
        <v>72.180484340000007</v>
      </c>
      <c r="F99" s="420">
        <v>72.385296440000005</v>
      </c>
      <c r="G99" s="420">
        <v>72.560055829999996</v>
      </c>
      <c r="H99" s="421">
        <v>2016</v>
      </c>
      <c r="I99" s="421">
        <v>72.180484340000007</v>
      </c>
      <c r="J99" s="421">
        <v>2015</v>
      </c>
      <c r="K99" s="411">
        <v>69.800200000000004</v>
      </c>
      <c r="L99" s="421">
        <f>AVERAGE(G100:G104)*0.9</f>
        <v>75.451829266800004</v>
      </c>
      <c r="M99" s="421"/>
      <c r="N99" s="421">
        <f>(L99-K99)*0.5+K99</f>
        <v>72.626014633400004</v>
      </c>
      <c r="O99" s="421">
        <f>(Table14[[#This Row],[Ambitious target 2030]]-Table14[[#This Row],[Model reference value]])*0.25+Table14[[#This Row],[Model reference value]]</f>
        <v>71.213107316700004</v>
      </c>
      <c r="P99" s="421">
        <f>K99</f>
        <v>69.800200000000004</v>
      </c>
      <c r="Q99" s="421">
        <f>AVERAGE(G100:G104)*1</f>
        <v>83.835365851999995</v>
      </c>
      <c r="R99" s="421"/>
      <c r="S99" s="421">
        <f>(Table14[[#This Row],[Ambitious target 2050]]-Table14[[#This Row],[Model reference value]])*0.5+Table14[[#This Row],[Model reference value]]</f>
        <v>76.817782926000007</v>
      </c>
      <c r="T99" s="421">
        <f>(Table14[[#This Row],[Ambitious target 2050]]-Table14[[#This Row],[Model reference value]])*0.25+Table14[[#This Row],[Model reference value]]</f>
        <v>73.308991462999998</v>
      </c>
      <c r="U99" s="421">
        <f>Table14[[#This Row],[Worst value 2030]]</f>
        <v>69.800200000000004</v>
      </c>
      <c r="V99" s="421">
        <f>AVERAGE(G100:G104)*1.1</f>
        <v>92.218902437200001</v>
      </c>
      <c r="W99" s="421"/>
      <c r="X99" s="421">
        <f>(Table14[[#This Row],[Ambitious target 2100]]-Table14[[#This Row],[Model reference value]])*0.5+Table14[[#This Row],[Model reference value]]</f>
        <v>81.009551218599995</v>
      </c>
      <c r="Y99" s="421">
        <f>(Table14[[#This Row],[Ambitious target 2100]]-Table14[[#This Row],[Model reference value]])*0.25+Table14[[#This Row],[Model reference value]]</f>
        <v>75.404875609300007</v>
      </c>
      <c r="Z99" s="421">
        <f>Table14[[#This Row],[Worst value 2030]]</f>
        <v>69.800200000000004</v>
      </c>
      <c r="AA99" s="421" t="s">
        <v>1556</v>
      </c>
      <c r="AB99" s="421" t="s">
        <v>1169</v>
      </c>
      <c r="AC99" s="419" t="s">
        <v>714</v>
      </c>
      <c r="AD99" s="360"/>
      <c r="AE99" s="360"/>
      <c r="AF99" s="360"/>
      <c r="AG99" s="360"/>
      <c r="AH99" s="360"/>
      <c r="AI99" s="360"/>
      <c r="AJ99" s="360"/>
      <c r="AK99" s="360"/>
    </row>
    <row r="100" spans="1:37" hidden="1" x14ac:dyDescent="0.25">
      <c r="A100" s="390"/>
      <c r="B100" s="369"/>
      <c r="C100" s="369"/>
      <c r="D100" s="369" t="s">
        <v>708</v>
      </c>
      <c r="E100" s="379">
        <v>84.226829269999996</v>
      </c>
      <c r="F100" s="380">
        <v>84.680487799999995</v>
      </c>
      <c r="G100" s="381">
        <v>84.934146339999998</v>
      </c>
      <c r="H100" s="421"/>
      <c r="I100" s="375"/>
      <c r="J100" s="375"/>
      <c r="K100" s="375"/>
      <c r="L100" s="375"/>
      <c r="M100" s="375"/>
      <c r="N100" s="375"/>
      <c r="O100" s="375"/>
      <c r="P100" s="375"/>
      <c r="Q100" s="375"/>
      <c r="R100" s="375"/>
      <c r="S100" s="375"/>
      <c r="T100" s="375"/>
      <c r="U100" s="375"/>
      <c r="V100" s="375"/>
      <c r="W100" s="375"/>
      <c r="X100" s="375"/>
      <c r="Y100" s="375"/>
      <c r="Z100" s="375"/>
      <c r="AA100" s="375"/>
      <c r="AB100" s="375"/>
      <c r="AC100" s="396"/>
      <c r="AD100" s="360"/>
      <c r="AE100" s="360"/>
      <c r="AF100" s="360"/>
      <c r="AG100" s="360"/>
      <c r="AH100" s="360"/>
      <c r="AI100" s="360"/>
      <c r="AJ100" s="360"/>
      <c r="AK100" s="360"/>
    </row>
    <row r="101" spans="1:37" hidden="1" x14ac:dyDescent="0.25">
      <c r="A101" s="390"/>
      <c r="B101" s="369"/>
      <c r="C101" s="369"/>
      <c r="D101" s="369" t="s">
        <v>715</v>
      </c>
      <c r="E101" s="379">
        <v>83.984878050000006</v>
      </c>
      <c r="F101" s="380">
        <v>84.099756099999993</v>
      </c>
      <c r="G101" s="381">
        <v>84.210975610000006</v>
      </c>
      <c r="H101" s="421"/>
      <c r="I101" s="375"/>
      <c r="J101" s="375"/>
      <c r="K101" s="375"/>
      <c r="L101" s="375"/>
      <c r="M101" s="375"/>
      <c r="N101" s="375"/>
      <c r="O101" s="375"/>
      <c r="P101" s="375"/>
      <c r="Q101" s="375"/>
      <c r="R101" s="375"/>
      <c r="S101" s="375"/>
      <c r="T101" s="375"/>
      <c r="U101" s="375"/>
      <c r="V101" s="375"/>
      <c r="W101" s="375"/>
      <c r="X101" s="375"/>
      <c r="Y101" s="375"/>
      <c r="Z101" s="375"/>
      <c r="AA101" s="375"/>
      <c r="AB101" s="375"/>
      <c r="AC101" s="396"/>
      <c r="AD101" s="360"/>
      <c r="AE101" s="360"/>
      <c r="AF101" s="360"/>
      <c r="AG101" s="360"/>
      <c r="AH101" s="360"/>
      <c r="AI101" s="360"/>
      <c r="AJ101" s="360"/>
      <c r="AK101" s="360"/>
    </row>
    <row r="102" spans="1:37" hidden="1" x14ac:dyDescent="0.25">
      <c r="A102" s="390"/>
      <c r="B102" s="369"/>
      <c r="C102" s="369"/>
      <c r="D102" s="369" t="s">
        <v>700</v>
      </c>
      <c r="E102" s="379">
        <v>83.602439020000006</v>
      </c>
      <c r="F102" s="380">
        <v>83.551219509999996</v>
      </c>
      <c r="G102" s="381">
        <v>83.551219509999996</v>
      </c>
      <c r="H102" s="421"/>
      <c r="I102" s="375"/>
      <c r="J102" s="375"/>
      <c r="K102" s="375"/>
      <c r="L102" s="375"/>
      <c r="M102" s="375"/>
      <c r="N102" s="375"/>
      <c r="O102" s="375"/>
      <c r="P102" s="375"/>
      <c r="Q102" s="375"/>
      <c r="R102" s="375"/>
      <c r="S102" s="375"/>
      <c r="T102" s="375"/>
      <c r="U102" s="375"/>
      <c r="V102" s="375"/>
      <c r="W102" s="375"/>
      <c r="X102" s="375"/>
      <c r="Y102" s="375"/>
      <c r="Z102" s="375"/>
      <c r="AA102" s="375"/>
      <c r="AB102" s="375"/>
      <c r="AC102" s="396"/>
      <c r="AD102" s="360"/>
      <c r="AE102" s="360"/>
      <c r="AF102" s="360"/>
      <c r="AG102" s="360"/>
      <c r="AH102" s="360"/>
      <c r="AI102" s="360"/>
      <c r="AJ102" s="360"/>
      <c r="AK102" s="360"/>
    </row>
    <row r="103" spans="1:37" hidden="1" x14ac:dyDescent="0.25">
      <c r="A103" s="390"/>
      <c r="B103" s="369"/>
      <c r="C103" s="369"/>
      <c r="D103" s="369" t="s">
        <v>716</v>
      </c>
      <c r="E103" s="379">
        <v>83.329268290000002</v>
      </c>
      <c r="F103" s="380">
        <v>83.282926829999994</v>
      </c>
      <c r="G103" s="381">
        <v>83.334146340000004</v>
      </c>
      <c r="H103" s="421"/>
      <c r="I103" s="375"/>
      <c r="J103" s="375"/>
      <c r="K103" s="375"/>
      <c r="L103" s="375"/>
      <c r="M103" s="375"/>
      <c r="N103" s="375"/>
      <c r="O103" s="375"/>
      <c r="P103" s="375"/>
      <c r="Q103" s="375"/>
      <c r="R103" s="375"/>
      <c r="S103" s="375"/>
      <c r="T103" s="375"/>
      <c r="U103" s="375"/>
      <c r="V103" s="375"/>
      <c r="W103" s="375"/>
      <c r="X103" s="375"/>
      <c r="Y103" s="375"/>
      <c r="Z103" s="375"/>
      <c r="AA103" s="375"/>
      <c r="AB103" s="375"/>
      <c r="AC103" s="396"/>
      <c r="AD103" s="360"/>
      <c r="AE103" s="360"/>
      <c r="AF103" s="360"/>
      <c r="AG103" s="360"/>
      <c r="AH103" s="360"/>
      <c r="AI103" s="360"/>
      <c r="AJ103" s="360"/>
      <c r="AK103" s="360"/>
    </row>
    <row r="104" spans="1:37" hidden="1" x14ac:dyDescent="0.25">
      <c r="A104" s="390"/>
      <c r="B104" s="369"/>
      <c r="C104" s="369"/>
      <c r="D104" s="369" t="s">
        <v>702</v>
      </c>
      <c r="E104" s="379">
        <v>82.846341460000005</v>
      </c>
      <c r="F104" s="380">
        <v>83.095121950000006</v>
      </c>
      <c r="G104" s="381">
        <v>83.146341460000002</v>
      </c>
      <c r="H104" s="421"/>
      <c r="I104" s="375"/>
      <c r="J104" s="375"/>
      <c r="K104" s="375"/>
      <c r="L104" s="375"/>
      <c r="M104" s="375"/>
      <c r="N104" s="375"/>
      <c r="O104" s="375"/>
      <c r="P104" s="375"/>
      <c r="Q104" s="375"/>
      <c r="R104" s="375"/>
      <c r="S104" s="375"/>
      <c r="T104" s="375"/>
      <c r="U104" s="375"/>
      <c r="V104" s="375"/>
      <c r="W104" s="375"/>
      <c r="X104" s="375"/>
      <c r="Y104" s="375"/>
      <c r="Z104" s="375"/>
      <c r="AA104" s="375"/>
      <c r="AB104" s="375"/>
      <c r="AC104" s="396"/>
      <c r="AD104" s="360"/>
      <c r="AE104" s="360"/>
      <c r="AF104" s="360"/>
      <c r="AG104" s="360"/>
      <c r="AH104" s="360"/>
      <c r="AI104" s="360"/>
      <c r="AJ104" s="360"/>
      <c r="AK104" s="360"/>
    </row>
    <row r="105" spans="1:37" hidden="1" x14ac:dyDescent="0.25">
      <c r="A105" s="390"/>
      <c r="B105" s="369"/>
      <c r="C105" s="369"/>
      <c r="D105" s="369" t="s">
        <v>711</v>
      </c>
      <c r="E105" s="382">
        <v>53.438000000000002</v>
      </c>
      <c r="F105" s="383">
        <v>53.712000000000003</v>
      </c>
      <c r="G105" s="384">
        <v>53.976999999999997</v>
      </c>
      <c r="H105" s="421"/>
      <c r="I105" s="375"/>
      <c r="J105" s="375"/>
      <c r="K105" s="375"/>
      <c r="L105" s="375"/>
      <c r="M105" s="375"/>
      <c r="N105" s="375"/>
      <c r="O105" s="375"/>
      <c r="P105" s="375"/>
      <c r="Q105" s="375"/>
      <c r="R105" s="375"/>
      <c r="S105" s="375"/>
      <c r="T105" s="375"/>
      <c r="U105" s="375"/>
      <c r="V105" s="375"/>
      <c r="W105" s="375"/>
      <c r="X105" s="375"/>
      <c r="Y105" s="375"/>
      <c r="Z105" s="375"/>
      <c r="AA105" s="375"/>
      <c r="AB105" s="375"/>
      <c r="AC105" s="396"/>
      <c r="AD105" s="360"/>
      <c r="AE105" s="360"/>
      <c r="AF105" s="360"/>
      <c r="AG105" s="360"/>
      <c r="AH105" s="360"/>
      <c r="AI105" s="360"/>
      <c r="AJ105" s="360"/>
      <c r="AK105" s="360"/>
    </row>
    <row r="106" spans="1:37" hidden="1" x14ac:dyDescent="0.25">
      <c r="A106" s="390"/>
      <c r="B106" s="369"/>
      <c r="C106" s="369"/>
      <c r="D106" s="369" t="s">
        <v>705</v>
      </c>
      <c r="E106" s="382">
        <v>53.444000000000003</v>
      </c>
      <c r="F106" s="383">
        <v>53.895000000000003</v>
      </c>
      <c r="G106" s="384">
        <v>54.308999999999997</v>
      </c>
      <c r="H106" s="421"/>
      <c r="I106" s="375"/>
      <c r="J106" s="375"/>
      <c r="K106" s="375"/>
      <c r="L106" s="375"/>
      <c r="M106" s="375"/>
      <c r="N106" s="375"/>
      <c r="O106" s="375"/>
      <c r="P106" s="375"/>
      <c r="Q106" s="375"/>
      <c r="R106" s="375"/>
      <c r="S106" s="375"/>
      <c r="T106" s="375"/>
      <c r="U106" s="375"/>
      <c r="V106" s="375"/>
      <c r="W106" s="375"/>
      <c r="X106" s="375"/>
      <c r="Y106" s="375"/>
      <c r="Z106" s="375"/>
      <c r="AA106" s="375"/>
      <c r="AB106" s="375"/>
      <c r="AC106" s="396"/>
      <c r="AD106" s="360"/>
      <c r="AE106" s="360"/>
      <c r="AF106" s="360"/>
      <c r="AG106" s="360"/>
      <c r="AH106" s="360"/>
      <c r="AI106" s="360"/>
      <c r="AJ106" s="360"/>
      <c r="AK106" s="360"/>
    </row>
    <row r="107" spans="1:37" hidden="1" x14ac:dyDescent="0.25">
      <c r="A107" s="390"/>
      <c r="B107" s="369"/>
      <c r="C107" s="369"/>
      <c r="D107" s="369" t="s">
        <v>717</v>
      </c>
      <c r="E107" s="382">
        <v>53.540999999999997</v>
      </c>
      <c r="F107" s="383">
        <v>53.95</v>
      </c>
      <c r="G107" s="384">
        <v>54.332000000000001</v>
      </c>
      <c r="H107" s="421"/>
      <c r="I107" s="375"/>
      <c r="J107" s="375"/>
      <c r="K107" s="375"/>
      <c r="L107" s="375"/>
      <c r="M107" s="375"/>
      <c r="N107" s="375"/>
      <c r="O107" s="375"/>
      <c r="P107" s="375"/>
      <c r="Q107" s="375"/>
      <c r="R107" s="375"/>
      <c r="S107" s="375"/>
      <c r="T107" s="375"/>
      <c r="U107" s="375"/>
      <c r="V107" s="375"/>
      <c r="W107" s="375"/>
      <c r="X107" s="375"/>
      <c r="Y107" s="375"/>
      <c r="Z107" s="375"/>
      <c r="AA107" s="375"/>
      <c r="AB107" s="375"/>
      <c r="AC107" s="396"/>
      <c r="AD107" s="360"/>
      <c r="AE107" s="360"/>
      <c r="AF107" s="360"/>
      <c r="AG107" s="360"/>
      <c r="AH107" s="360"/>
      <c r="AI107" s="360"/>
      <c r="AJ107" s="360"/>
      <c r="AK107" s="360"/>
    </row>
    <row r="108" spans="1:37" hidden="1" x14ac:dyDescent="0.25">
      <c r="A108" s="390"/>
      <c r="B108" s="369"/>
      <c r="C108" s="369"/>
      <c r="D108" s="369" t="s">
        <v>683</v>
      </c>
      <c r="E108" s="382">
        <v>56.323999999999998</v>
      </c>
      <c r="F108" s="383">
        <v>56.709000000000003</v>
      </c>
      <c r="G108" s="384">
        <v>57.067999999999998</v>
      </c>
      <c r="H108" s="421"/>
      <c r="I108" s="375"/>
      <c r="J108" s="375"/>
      <c r="K108" s="375"/>
      <c r="L108" s="375"/>
      <c r="M108" s="375"/>
      <c r="N108" s="375"/>
      <c r="O108" s="375"/>
      <c r="P108" s="375"/>
      <c r="Q108" s="375"/>
      <c r="R108" s="375"/>
      <c r="S108" s="375"/>
      <c r="T108" s="375"/>
      <c r="U108" s="375"/>
      <c r="V108" s="375"/>
      <c r="W108" s="375"/>
      <c r="X108" s="375"/>
      <c r="Y108" s="375"/>
      <c r="Z108" s="375"/>
      <c r="AA108" s="375"/>
      <c r="AB108" s="375"/>
      <c r="AC108" s="396"/>
      <c r="AD108" s="360"/>
      <c r="AE108" s="360"/>
      <c r="AF108" s="360"/>
      <c r="AG108" s="360"/>
      <c r="AH108" s="360"/>
      <c r="AI108" s="360"/>
      <c r="AJ108" s="360"/>
      <c r="AK108" s="360"/>
    </row>
    <row r="109" spans="1:37" hidden="1" x14ac:dyDescent="0.25">
      <c r="A109" s="390"/>
      <c r="B109" s="369"/>
      <c r="C109" s="369"/>
      <c r="D109" s="369" t="s">
        <v>718</v>
      </c>
      <c r="E109" s="382">
        <v>57.12</v>
      </c>
      <c r="F109" s="383">
        <v>57.365000000000002</v>
      </c>
      <c r="G109" s="384">
        <v>57.603999999999999</v>
      </c>
      <c r="H109" s="421"/>
      <c r="I109" s="375"/>
      <c r="J109" s="375"/>
      <c r="K109" s="375"/>
      <c r="L109" s="375"/>
      <c r="M109" s="375"/>
      <c r="N109" s="375"/>
      <c r="O109" s="375"/>
      <c r="P109" s="375"/>
      <c r="Q109" s="375"/>
      <c r="R109" s="375"/>
      <c r="S109" s="375"/>
      <c r="T109" s="375"/>
      <c r="U109" s="375"/>
      <c r="V109" s="375"/>
      <c r="W109" s="375"/>
      <c r="X109" s="375"/>
      <c r="Y109" s="375"/>
      <c r="Z109" s="375"/>
      <c r="AA109" s="375"/>
      <c r="AB109" s="375"/>
      <c r="AC109" s="396"/>
      <c r="AD109" s="360"/>
      <c r="AE109" s="360"/>
      <c r="AF109" s="360"/>
      <c r="AG109" s="360"/>
      <c r="AH109" s="360"/>
      <c r="AI109" s="360"/>
      <c r="AJ109" s="360"/>
      <c r="AK109" s="360"/>
    </row>
    <row r="110" spans="1:37" s="386" customFormat="1" hidden="1" x14ac:dyDescent="0.25">
      <c r="A110" s="409"/>
      <c r="B110" s="406"/>
      <c r="C110" s="406"/>
      <c r="D110" s="406"/>
      <c r="E110" s="407">
        <v>2016</v>
      </c>
      <c r="F110" s="407">
        <v>2017</v>
      </c>
      <c r="G110" s="407">
        <v>2018</v>
      </c>
      <c r="H110" s="407"/>
      <c r="I110" s="407"/>
      <c r="J110" s="407"/>
      <c r="K110" s="407"/>
      <c r="L110" s="407"/>
      <c r="M110" s="407"/>
      <c r="N110" s="407"/>
      <c r="O110" s="407"/>
      <c r="P110" s="407"/>
      <c r="Q110" s="407"/>
      <c r="R110" s="407"/>
      <c r="S110" s="407"/>
      <c r="T110" s="407"/>
      <c r="U110" s="407"/>
      <c r="V110" s="407"/>
      <c r="W110" s="407"/>
      <c r="X110" s="407"/>
      <c r="Y110" s="407"/>
      <c r="Z110" s="407"/>
      <c r="AA110" s="407"/>
      <c r="AB110" s="407"/>
      <c r="AC110" s="413"/>
    </row>
    <row r="111" spans="1:37" x14ac:dyDescent="0.25">
      <c r="A111" s="422" t="s">
        <v>550</v>
      </c>
      <c r="B111" s="437" t="s">
        <v>548</v>
      </c>
      <c r="C111" s="437" t="s">
        <v>191</v>
      </c>
      <c r="D111" s="436" t="s">
        <v>904</v>
      </c>
      <c r="E111" s="420">
        <v>0.72699999999999998</v>
      </c>
      <c r="F111" s="420">
        <v>0.72899999999999998</v>
      </c>
      <c r="G111" s="420">
        <v>0.73099999999999998</v>
      </c>
      <c r="H111" s="421">
        <v>2016</v>
      </c>
      <c r="I111" s="421">
        <v>0.72699999999999998</v>
      </c>
      <c r="J111" s="421">
        <v>2015</v>
      </c>
      <c r="K111" s="411">
        <v>0.70096099999999995</v>
      </c>
      <c r="L111" s="421">
        <f>AVERAGE(G112:G116)*0.9</f>
        <v>0.84960000000000002</v>
      </c>
      <c r="M111" s="421"/>
      <c r="N111" s="421">
        <f>(L111-K111)*0.5+K111</f>
        <v>0.77528050000000004</v>
      </c>
      <c r="O111" s="421">
        <f>(Table14[[#This Row],[Ambitious target 2030]]-Table14[[#This Row],[Model reference value]])*0.25+Table14[[#This Row],[Model reference value]]</f>
        <v>0.73812074999999999</v>
      </c>
      <c r="P111" s="421">
        <f>K111</f>
        <v>0.70096099999999995</v>
      </c>
      <c r="Q111" s="421">
        <f>AVERAGE(G112:G116)*1</f>
        <v>0.94399999999999995</v>
      </c>
      <c r="R111" s="421"/>
      <c r="S111" s="421">
        <f>(Table14[[#This Row],[Ambitious target 2050]]-Table14[[#This Row],[Model reference value]])*0.5+Table14[[#This Row],[Model reference value]]</f>
        <v>0.82248049999999995</v>
      </c>
      <c r="T111" s="421">
        <f>(Table14[[#This Row],[Ambitious target 2050]]-Table14[[#This Row],[Model reference value]])*0.25+Table14[[#This Row],[Model reference value]]</f>
        <v>0.76172074999999995</v>
      </c>
      <c r="U111" s="421">
        <f>Table14[[#This Row],[Worst value 2030]]</f>
        <v>0.70096099999999995</v>
      </c>
      <c r="V111" s="421">
        <v>1</v>
      </c>
      <c r="W111" s="421"/>
      <c r="X111" s="421">
        <f>(Table14[[#This Row],[Ambitious target 2100]]-Table14[[#This Row],[Model reference value]])*0.5+Table14[[#This Row],[Model reference value]]</f>
        <v>0.85048049999999997</v>
      </c>
      <c r="Y111" s="421">
        <f>(Table14[[#This Row],[Ambitious target 2100]]-Table14[[#This Row],[Model reference value]])*0.25+Table14[[#This Row],[Model reference value]]</f>
        <v>0.77572074999999996</v>
      </c>
      <c r="Z111" s="421">
        <f>Table14[[#This Row],[Worst value 2030]]</f>
        <v>0.70096099999999995</v>
      </c>
      <c r="AA111" s="421" t="s">
        <v>1556</v>
      </c>
      <c r="AB111" s="421" t="s">
        <v>1557</v>
      </c>
      <c r="AC111" s="419" t="s">
        <v>719</v>
      </c>
      <c r="AD111" s="360"/>
      <c r="AE111" s="360"/>
      <c r="AF111" s="360"/>
      <c r="AG111" s="360"/>
      <c r="AH111" s="360"/>
      <c r="AI111" s="360"/>
      <c r="AJ111" s="360"/>
      <c r="AK111" s="360"/>
    </row>
    <row r="112" spans="1:37" hidden="1" x14ac:dyDescent="0.25">
      <c r="A112" s="390"/>
      <c r="B112" s="369"/>
      <c r="C112" s="369"/>
      <c r="D112" s="369" t="s">
        <v>690</v>
      </c>
      <c r="E112" s="379">
        <v>0.95099999999999996</v>
      </c>
      <c r="F112" s="380">
        <v>0.95299999999999996</v>
      </c>
      <c r="G112" s="381">
        <v>0.95399999999999996</v>
      </c>
      <c r="H112" s="421"/>
      <c r="I112" s="375"/>
      <c r="J112" s="375"/>
      <c r="K112" s="375"/>
      <c r="L112" s="375"/>
      <c r="M112" s="375"/>
      <c r="N112" s="375"/>
      <c r="O112" s="375"/>
      <c r="P112" s="375"/>
      <c r="Q112" s="375"/>
      <c r="R112" s="375"/>
      <c r="S112" s="375"/>
      <c r="T112" s="375"/>
      <c r="U112" s="375"/>
      <c r="V112" s="375"/>
      <c r="W112" s="375"/>
      <c r="X112" s="375"/>
      <c r="Y112" s="375"/>
      <c r="Z112" s="375"/>
      <c r="AA112" s="375"/>
      <c r="AB112" s="375"/>
      <c r="AC112" s="396"/>
      <c r="AD112" s="360"/>
      <c r="AE112" s="360"/>
      <c r="AF112" s="360"/>
      <c r="AG112" s="360"/>
      <c r="AH112" s="360"/>
      <c r="AI112" s="360"/>
      <c r="AJ112" s="360"/>
      <c r="AK112" s="360"/>
    </row>
    <row r="113" spans="1:37" hidden="1" x14ac:dyDescent="0.25">
      <c r="A113" s="390"/>
      <c r="B113" s="369"/>
      <c r="C113" s="369"/>
      <c r="D113" s="369" t="s">
        <v>700</v>
      </c>
      <c r="E113" s="379">
        <v>0.94299999999999995</v>
      </c>
      <c r="F113" s="380">
        <v>0.94299999999999995</v>
      </c>
      <c r="G113" s="381">
        <v>0.94599999999999995</v>
      </c>
      <c r="H113" s="421"/>
      <c r="I113" s="375"/>
      <c r="J113" s="375"/>
      <c r="K113" s="375"/>
      <c r="L113" s="375"/>
      <c r="M113" s="375"/>
      <c r="N113" s="375"/>
      <c r="O113" s="375"/>
      <c r="P113" s="375"/>
      <c r="Q113" s="375"/>
      <c r="R113" s="375"/>
      <c r="S113" s="375"/>
      <c r="T113" s="375"/>
      <c r="U113" s="375"/>
      <c r="V113" s="375"/>
      <c r="W113" s="375"/>
      <c r="X113" s="375"/>
      <c r="Y113" s="375"/>
      <c r="Z113" s="375"/>
      <c r="AA113" s="375"/>
      <c r="AB113" s="375"/>
      <c r="AC113" s="396"/>
      <c r="AD113" s="360"/>
      <c r="AE113" s="360"/>
      <c r="AF113" s="360"/>
      <c r="AG113" s="360"/>
      <c r="AH113" s="360"/>
      <c r="AI113" s="360"/>
      <c r="AJ113" s="360"/>
      <c r="AK113" s="360"/>
    </row>
    <row r="114" spans="1:37" hidden="1" x14ac:dyDescent="0.25">
      <c r="A114" s="390"/>
      <c r="B114" s="369"/>
      <c r="C114" s="369"/>
      <c r="D114" s="369" t="s">
        <v>681</v>
      </c>
      <c r="E114" s="379">
        <v>0.93600000000000005</v>
      </c>
      <c r="F114" s="380">
        <v>0.93899999999999995</v>
      </c>
      <c r="G114" s="381">
        <v>0.94199999999999995</v>
      </c>
      <c r="H114" s="421"/>
      <c r="I114" s="375"/>
      <c r="J114" s="375"/>
      <c r="K114" s="375"/>
      <c r="L114" s="375"/>
      <c r="M114" s="375"/>
      <c r="N114" s="375"/>
      <c r="O114" s="375"/>
      <c r="P114" s="375"/>
      <c r="Q114" s="375"/>
      <c r="R114" s="375"/>
      <c r="S114" s="375"/>
      <c r="T114" s="375"/>
      <c r="U114" s="375"/>
      <c r="V114" s="375"/>
      <c r="W114" s="375"/>
      <c r="X114" s="375"/>
      <c r="Y114" s="375"/>
      <c r="Z114" s="375"/>
      <c r="AA114" s="375"/>
      <c r="AB114" s="375"/>
      <c r="AC114" s="396"/>
      <c r="AD114" s="360"/>
      <c r="AE114" s="360"/>
      <c r="AF114" s="360"/>
      <c r="AG114" s="360"/>
      <c r="AH114" s="360"/>
      <c r="AI114" s="360"/>
      <c r="AJ114" s="360"/>
      <c r="AK114" s="360"/>
    </row>
    <row r="115" spans="1:37" hidden="1" x14ac:dyDescent="0.25">
      <c r="A115" s="390"/>
      <c r="B115" s="369"/>
      <c r="C115" s="369"/>
      <c r="D115" s="369" t="s">
        <v>720</v>
      </c>
      <c r="E115" s="379">
        <v>0.93600000000000005</v>
      </c>
      <c r="F115" s="380">
        <v>0.93799999999999994</v>
      </c>
      <c r="G115" s="381">
        <v>0.93899999999999995</v>
      </c>
      <c r="H115" s="421"/>
      <c r="I115" s="375"/>
      <c r="J115" s="375"/>
      <c r="K115" s="375"/>
      <c r="L115" s="375"/>
      <c r="M115" s="375"/>
      <c r="N115" s="375"/>
      <c r="O115" s="375"/>
      <c r="P115" s="375"/>
      <c r="Q115" s="375"/>
      <c r="R115" s="375"/>
      <c r="S115" s="375"/>
      <c r="T115" s="375"/>
      <c r="U115" s="375"/>
      <c r="V115" s="375"/>
      <c r="W115" s="375"/>
      <c r="X115" s="375"/>
      <c r="Y115" s="375"/>
      <c r="Z115" s="375"/>
      <c r="AA115" s="375"/>
      <c r="AB115" s="375"/>
      <c r="AC115" s="396"/>
      <c r="AD115" s="360"/>
      <c r="AE115" s="360"/>
      <c r="AF115" s="360"/>
      <c r="AG115" s="360"/>
      <c r="AH115" s="360"/>
      <c r="AI115" s="360"/>
      <c r="AJ115" s="360"/>
      <c r="AK115" s="360"/>
    </row>
    <row r="116" spans="1:37" hidden="1" x14ac:dyDescent="0.25">
      <c r="A116" s="390"/>
      <c r="B116" s="369"/>
      <c r="C116" s="369"/>
      <c r="D116" s="369" t="s">
        <v>721</v>
      </c>
      <c r="E116" s="379">
        <v>0.93100000000000005</v>
      </c>
      <c r="F116" s="380">
        <v>0.93700000000000006</v>
      </c>
      <c r="G116" s="381">
        <v>0.93899999999999995</v>
      </c>
      <c r="H116" s="421"/>
      <c r="I116" s="375"/>
      <c r="J116" s="375"/>
      <c r="K116" s="375"/>
      <c r="L116" s="375"/>
      <c r="M116" s="375"/>
      <c r="N116" s="375"/>
      <c r="O116" s="375"/>
      <c r="P116" s="375"/>
      <c r="Q116" s="375"/>
      <c r="R116" s="375"/>
      <c r="S116" s="375"/>
      <c r="T116" s="375"/>
      <c r="U116" s="375"/>
      <c r="V116" s="375"/>
      <c r="W116" s="375"/>
      <c r="X116" s="375"/>
      <c r="Y116" s="375"/>
      <c r="Z116" s="375"/>
      <c r="AA116" s="375"/>
      <c r="AB116" s="375"/>
      <c r="AC116" s="396"/>
      <c r="AD116" s="360"/>
      <c r="AE116" s="360"/>
      <c r="AF116" s="360"/>
      <c r="AG116" s="360"/>
      <c r="AH116" s="360"/>
      <c r="AI116" s="360"/>
      <c r="AJ116" s="360"/>
      <c r="AK116" s="360"/>
    </row>
    <row r="117" spans="1:37" hidden="1" x14ac:dyDescent="0.25">
      <c r="A117" s="390"/>
      <c r="B117" s="369"/>
      <c r="C117" s="369"/>
      <c r="D117" s="369" t="s">
        <v>676</v>
      </c>
      <c r="E117" s="382">
        <v>0.36499999999999999</v>
      </c>
      <c r="F117" s="383">
        <v>0.373</v>
      </c>
      <c r="G117" s="384">
        <v>0.377</v>
      </c>
      <c r="H117" s="421"/>
      <c r="I117" s="375"/>
      <c r="J117" s="375"/>
      <c r="K117" s="375"/>
      <c r="L117" s="375"/>
      <c r="M117" s="375"/>
      <c r="N117" s="375"/>
      <c r="O117" s="375"/>
      <c r="P117" s="375"/>
      <c r="Q117" s="375"/>
      <c r="R117" s="375"/>
      <c r="S117" s="375"/>
      <c r="T117" s="375"/>
      <c r="U117" s="375"/>
      <c r="V117" s="375"/>
      <c r="W117" s="375"/>
      <c r="X117" s="375"/>
      <c r="Y117" s="375"/>
      <c r="Z117" s="375"/>
      <c r="AA117" s="375"/>
      <c r="AB117" s="375"/>
      <c r="AC117" s="396"/>
      <c r="AD117" s="360"/>
      <c r="AE117" s="360"/>
      <c r="AF117" s="360"/>
      <c r="AG117" s="360"/>
      <c r="AH117" s="360"/>
      <c r="AI117" s="360"/>
      <c r="AJ117" s="360"/>
      <c r="AK117" s="360"/>
    </row>
    <row r="118" spans="1:37" hidden="1" x14ac:dyDescent="0.25">
      <c r="A118" s="390"/>
      <c r="B118" s="369"/>
      <c r="C118" s="369"/>
      <c r="D118" s="369" t="s">
        <v>711</v>
      </c>
      <c r="E118" s="382">
        <v>0.39800000000000002</v>
      </c>
      <c r="F118" s="383">
        <v>0.40100000000000002</v>
      </c>
      <c r="G118" s="384">
        <v>0.40100000000000002</v>
      </c>
      <c r="H118" s="421"/>
      <c r="I118" s="375"/>
      <c r="J118" s="375"/>
      <c r="K118" s="375"/>
      <c r="L118" s="375"/>
      <c r="M118" s="375"/>
      <c r="N118" s="375"/>
      <c r="O118" s="375"/>
      <c r="P118" s="375"/>
      <c r="Q118" s="375"/>
      <c r="R118" s="375"/>
      <c r="S118" s="375"/>
      <c r="T118" s="375"/>
      <c r="U118" s="375"/>
      <c r="V118" s="375"/>
      <c r="W118" s="375"/>
      <c r="X118" s="375"/>
      <c r="Y118" s="375"/>
      <c r="Z118" s="375"/>
      <c r="AA118" s="375"/>
      <c r="AB118" s="375"/>
      <c r="AC118" s="396"/>
      <c r="AD118" s="360"/>
      <c r="AE118" s="360"/>
      <c r="AF118" s="360"/>
      <c r="AG118" s="360"/>
      <c r="AH118" s="360"/>
      <c r="AI118" s="360"/>
      <c r="AJ118" s="360"/>
      <c r="AK118" s="360"/>
    </row>
    <row r="119" spans="1:37" hidden="1" x14ac:dyDescent="0.25">
      <c r="A119" s="390"/>
      <c r="B119" s="369"/>
      <c r="C119" s="369"/>
      <c r="D119" s="369" t="s">
        <v>718</v>
      </c>
      <c r="E119" s="382">
        <v>0.41799999999999998</v>
      </c>
      <c r="F119" s="383">
        <v>0.41399999999999998</v>
      </c>
      <c r="G119" s="384">
        <v>0.41299999999999998</v>
      </c>
      <c r="H119" s="421"/>
      <c r="I119" s="375"/>
      <c r="J119" s="375"/>
      <c r="K119" s="375"/>
      <c r="L119" s="375"/>
      <c r="M119" s="375"/>
      <c r="N119" s="375"/>
      <c r="O119" s="375"/>
      <c r="P119" s="375"/>
      <c r="Q119" s="375"/>
      <c r="R119" s="375"/>
      <c r="S119" s="375"/>
      <c r="T119" s="375"/>
      <c r="U119" s="375"/>
      <c r="V119" s="375"/>
      <c r="W119" s="375"/>
      <c r="X119" s="375"/>
      <c r="Y119" s="375"/>
      <c r="Z119" s="375"/>
      <c r="AA119" s="375"/>
      <c r="AB119" s="375"/>
      <c r="AC119" s="396"/>
      <c r="AD119" s="360"/>
      <c r="AE119" s="360"/>
      <c r="AF119" s="360"/>
      <c r="AG119" s="360"/>
      <c r="AH119" s="360"/>
      <c r="AI119" s="360"/>
      <c r="AJ119" s="360"/>
      <c r="AK119" s="360"/>
    </row>
    <row r="120" spans="1:37" hidden="1" x14ac:dyDescent="0.25">
      <c r="A120" s="390"/>
      <c r="B120" s="369"/>
      <c r="C120" s="369"/>
      <c r="D120" s="369" t="s">
        <v>722</v>
      </c>
      <c r="E120" s="382">
        <v>0.42699999999999999</v>
      </c>
      <c r="F120" s="383">
        <v>0.42099999999999999</v>
      </c>
      <c r="G120" s="384">
        <v>0.42299999999999999</v>
      </c>
      <c r="H120" s="421"/>
      <c r="I120" s="375"/>
      <c r="J120" s="375"/>
      <c r="K120" s="375"/>
      <c r="L120" s="375"/>
      <c r="M120" s="375"/>
      <c r="N120" s="375"/>
      <c r="O120" s="375"/>
      <c r="P120" s="375"/>
      <c r="Q120" s="375"/>
      <c r="R120" s="375"/>
      <c r="S120" s="375"/>
      <c r="T120" s="375"/>
      <c r="U120" s="375"/>
      <c r="V120" s="375"/>
      <c r="W120" s="375"/>
      <c r="X120" s="375"/>
      <c r="Y120" s="375"/>
      <c r="Z120" s="375"/>
      <c r="AA120" s="375"/>
      <c r="AB120" s="375"/>
      <c r="AC120" s="396"/>
      <c r="AD120" s="360"/>
      <c r="AE120" s="360"/>
      <c r="AF120" s="360"/>
      <c r="AG120" s="360"/>
      <c r="AH120" s="360"/>
      <c r="AI120" s="360"/>
      <c r="AJ120" s="360"/>
      <c r="AK120" s="360"/>
    </row>
    <row r="121" spans="1:37" hidden="1" x14ac:dyDescent="0.25">
      <c r="A121" s="390"/>
      <c r="B121" s="369"/>
      <c r="C121" s="369"/>
      <c r="D121" s="369" t="s">
        <v>710</v>
      </c>
      <c r="E121" s="382">
        <v>0.42</v>
      </c>
      <c r="F121" s="383">
        <v>0.42599999999999999</v>
      </c>
      <c r="G121" s="384">
        <v>0.42699999999999999</v>
      </c>
      <c r="H121" s="421"/>
      <c r="I121" s="375"/>
      <c r="J121" s="375"/>
      <c r="K121" s="375"/>
      <c r="L121" s="375"/>
      <c r="M121" s="375"/>
      <c r="N121" s="375"/>
      <c r="O121" s="375"/>
      <c r="P121" s="375"/>
      <c r="Q121" s="375"/>
      <c r="R121" s="375"/>
      <c r="S121" s="375"/>
      <c r="T121" s="375"/>
      <c r="U121" s="375"/>
      <c r="V121" s="375"/>
      <c r="W121" s="375"/>
      <c r="X121" s="375"/>
      <c r="Y121" s="375"/>
      <c r="Z121" s="375"/>
      <c r="AA121" s="375"/>
      <c r="AB121" s="375"/>
      <c r="AC121" s="396"/>
      <c r="AD121" s="360"/>
      <c r="AE121" s="360"/>
      <c r="AF121" s="360"/>
      <c r="AG121" s="360"/>
      <c r="AH121" s="360"/>
      <c r="AI121" s="360"/>
      <c r="AJ121" s="360"/>
      <c r="AK121" s="360"/>
    </row>
    <row r="122" spans="1:37" s="386" customFormat="1" hidden="1" x14ac:dyDescent="0.25">
      <c r="A122" s="409"/>
      <c r="B122" s="406"/>
      <c r="C122" s="406"/>
      <c r="D122" s="406"/>
      <c r="E122" s="407">
        <v>2016</v>
      </c>
      <c r="F122" s="407">
        <v>2017</v>
      </c>
      <c r="G122" s="407">
        <v>2018</v>
      </c>
      <c r="H122" s="407"/>
      <c r="I122" s="407"/>
      <c r="J122" s="407"/>
      <c r="K122" s="407"/>
      <c r="L122" s="407"/>
      <c r="M122" s="407"/>
      <c r="N122" s="407"/>
      <c r="O122" s="407"/>
      <c r="P122" s="407"/>
      <c r="Q122" s="407"/>
      <c r="R122" s="407"/>
      <c r="S122" s="407"/>
      <c r="T122" s="407"/>
      <c r="U122" s="407"/>
      <c r="V122" s="407"/>
      <c r="W122" s="407"/>
      <c r="X122" s="407"/>
      <c r="Y122" s="407"/>
      <c r="Z122" s="407"/>
      <c r="AA122" s="407"/>
      <c r="AB122" s="407"/>
      <c r="AC122" s="413"/>
    </row>
    <row r="123" spans="1:37" x14ac:dyDescent="0.25">
      <c r="A123" s="422" t="s">
        <v>556</v>
      </c>
      <c r="B123" s="437" t="s">
        <v>552</v>
      </c>
      <c r="C123" s="372" t="s">
        <v>1617</v>
      </c>
      <c r="D123" s="436" t="s">
        <v>904</v>
      </c>
      <c r="E123" s="420">
        <v>43.364129249999998</v>
      </c>
      <c r="F123" s="420">
        <v>42.457934940000001</v>
      </c>
      <c r="G123" s="420">
        <v>42.040219409999999</v>
      </c>
      <c r="H123" s="421">
        <v>2016</v>
      </c>
      <c r="I123" s="421">
        <v>43.364129249999998</v>
      </c>
      <c r="J123" s="421">
        <v>2015</v>
      </c>
      <c r="K123" s="411">
        <v>43.362400000000001</v>
      </c>
      <c r="L123" s="421">
        <f>AVERAGE(G129:G133)*10</f>
        <v>27.552399999999999</v>
      </c>
      <c r="M123" s="421"/>
      <c r="N123" s="421">
        <f>(L123-K123)*0.5+K123</f>
        <v>35.4574</v>
      </c>
      <c r="O123" s="421">
        <f>(Table14[[#This Row],[Ambitious target 2030]]-Table14[[#This Row],[Model reference value]])*0.25+Table14[[#This Row],[Model reference value]]</f>
        <v>39.4099</v>
      </c>
      <c r="P123" s="421">
        <f>K123</f>
        <v>43.362400000000001</v>
      </c>
      <c r="Q123" s="421">
        <f>AVERAGE(G129:G133)*5</f>
        <v>13.776199999999999</v>
      </c>
      <c r="R123" s="421"/>
      <c r="S123" s="421">
        <f>(Table14[[#This Row],[Ambitious target 2050]]-Table14[[#This Row],[Model reference value]])*0.5+Table14[[#This Row],[Model reference value]]</f>
        <v>28.569299999999998</v>
      </c>
      <c r="T123" s="421">
        <f>(Table14[[#This Row],[Ambitious target 2050]]-Table14[[#This Row],[Model reference value]])*0.25+Table14[[#This Row],[Model reference value]]</f>
        <v>35.965850000000003</v>
      </c>
      <c r="U123" s="421">
        <f>Table14[[#This Row],[Worst value 2030]]</f>
        <v>43.362400000000001</v>
      </c>
      <c r="V123" s="421">
        <v>0</v>
      </c>
      <c r="W123" s="421"/>
      <c r="X123" s="421">
        <f>(Table14[[#This Row],[Ambitious target 2100]]-Table14[[#This Row],[Model reference value]])*0.5+Table14[[#This Row],[Model reference value]]</f>
        <v>21.6812</v>
      </c>
      <c r="Y123" s="421">
        <f>(Table14[[#This Row],[Ambitious target 2100]]-Table14[[#This Row],[Model reference value]])*0.25+Table14[[#This Row],[Model reference value]]</f>
        <v>32.521799999999999</v>
      </c>
      <c r="Z123" s="421">
        <f>Table14[[#This Row],[Worst value 2030]]</f>
        <v>43.362400000000001</v>
      </c>
      <c r="AA123" s="421" t="s">
        <v>1556</v>
      </c>
      <c r="AB123" s="421" t="s">
        <v>1171</v>
      </c>
      <c r="AC123" s="419" t="s">
        <v>707</v>
      </c>
      <c r="AD123" s="360"/>
      <c r="AE123" s="360"/>
      <c r="AF123" s="360"/>
      <c r="AG123" s="360"/>
      <c r="AH123" s="360"/>
      <c r="AI123" s="360"/>
      <c r="AJ123" s="360"/>
      <c r="AK123" s="360"/>
    </row>
    <row r="124" spans="1:37" hidden="1" x14ac:dyDescent="0.25">
      <c r="A124" s="390"/>
      <c r="B124" s="369"/>
      <c r="C124" s="369"/>
      <c r="D124" s="369" t="s">
        <v>676</v>
      </c>
      <c r="E124" s="379">
        <v>189.37899999999999</v>
      </c>
      <c r="F124" s="380">
        <v>186.53800000000001</v>
      </c>
      <c r="G124" s="381">
        <v>183.51339999999999</v>
      </c>
      <c r="H124" s="421"/>
      <c r="I124" s="375"/>
      <c r="J124" s="375"/>
      <c r="K124" s="375"/>
      <c r="L124" s="375"/>
      <c r="M124" s="375"/>
      <c r="N124" s="375"/>
      <c r="O124" s="375"/>
      <c r="P124" s="375"/>
      <c r="Q124" s="375"/>
      <c r="R124" s="375"/>
      <c r="S124" s="375"/>
      <c r="T124" s="375"/>
      <c r="U124" s="375"/>
      <c r="V124" s="375"/>
      <c r="W124" s="375"/>
      <c r="X124" s="375"/>
      <c r="Y124" s="375"/>
      <c r="Z124" s="375"/>
      <c r="AA124" s="375"/>
      <c r="AB124" s="375"/>
      <c r="AC124" s="396"/>
      <c r="AD124" s="360"/>
      <c r="AE124" s="360"/>
      <c r="AF124" s="360"/>
      <c r="AG124" s="360"/>
      <c r="AH124" s="360"/>
      <c r="AI124" s="360"/>
      <c r="AJ124" s="360"/>
      <c r="AK124" s="360"/>
    </row>
    <row r="125" spans="1:37" hidden="1" x14ac:dyDescent="0.25">
      <c r="A125" s="390"/>
      <c r="B125" s="369"/>
      <c r="C125" s="369"/>
      <c r="D125" s="369" t="s">
        <v>710</v>
      </c>
      <c r="E125" s="379">
        <v>171.08260000000001</v>
      </c>
      <c r="F125" s="380">
        <v>169.12700000000001</v>
      </c>
      <c r="G125" s="381">
        <v>166.86680000000001</v>
      </c>
      <c r="H125" s="421"/>
      <c r="I125" s="375"/>
      <c r="J125" s="375"/>
      <c r="K125" s="375"/>
      <c r="L125" s="375"/>
      <c r="M125" s="375"/>
      <c r="N125" s="375"/>
      <c r="O125" s="375"/>
      <c r="P125" s="375"/>
      <c r="Q125" s="375"/>
      <c r="R125" s="375"/>
      <c r="S125" s="375"/>
      <c r="T125" s="375"/>
      <c r="U125" s="375"/>
      <c r="V125" s="375"/>
      <c r="W125" s="375"/>
      <c r="X125" s="375"/>
      <c r="Y125" s="375"/>
      <c r="Z125" s="375"/>
      <c r="AA125" s="375"/>
      <c r="AB125" s="375"/>
      <c r="AC125" s="396"/>
      <c r="AD125" s="360"/>
      <c r="AE125" s="360"/>
      <c r="AF125" s="360"/>
      <c r="AG125" s="360"/>
      <c r="AH125" s="360"/>
      <c r="AI125" s="360"/>
      <c r="AJ125" s="360"/>
      <c r="AK125" s="360"/>
    </row>
    <row r="126" spans="1:37" hidden="1" x14ac:dyDescent="0.25">
      <c r="A126" s="390"/>
      <c r="B126" s="369"/>
      <c r="C126" s="369"/>
      <c r="D126" s="369" t="s">
        <v>711</v>
      </c>
      <c r="E126" s="379">
        <v>164.51599999999999</v>
      </c>
      <c r="F126" s="380">
        <v>161.09</v>
      </c>
      <c r="G126" s="381">
        <v>157.9144</v>
      </c>
      <c r="H126" s="421"/>
      <c r="I126" s="375"/>
      <c r="J126" s="375"/>
      <c r="K126" s="375"/>
      <c r="L126" s="375"/>
      <c r="M126" s="375"/>
      <c r="N126" s="375"/>
      <c r="O126" s="375"/>
      <c r="P126" s="375"/>
      <c r="Q126" s="375"/>
      <c r="R126" s="375"/>
      <c r="S126" s="375"/>
      <c r="T126" s="375"/>
      <c r="U126" s="375"/>
      <c r="V126" s="375"/>
      <c r="W126" s="375"/>
      <c r="X126" s="375"/>
      <c r="Y126" s="375"/>
      <c r="Z126" s="375"/>
      <c r="AA126" s="375"/>
      <c r="AB126" s="375"/>
      <c r="AC126" s="396"/>
      <c r="AD126" s="360"/>
      <c r="AE126" s="360"/>
      <c r="AF126" s="360"/>
      <c r="AG126" s="360"/>
      <c r="AH126" s="360"/>
      <c r="AI126" s="360"/>
      <c r="AJ126" s="360"/>
      <c r="AK126" s="360"/>
    </row>
    <row r="127" spans="1:37" hidden="1" x14ac:dyDescent="0.25">
      <c r="A127" s="390"/>
      <c r="B127" s="369"/>
      <c r="C127" s="369"/>
      <c r="D127" s="369" t="s">
        <v>712</v>
      </c>
      <c r="E127" s="379">
        <v>150.72980000000001</v>
      </c>
      <c r="F127" s="380">
        <v>148.626</v>
      </c>
      <c r="G127" s="381">
        <v>146.2508</v>
      </c>
      <c r="H127" s="421"/>
      <c r="I127" s="375"/>
      <c r="J127" s="375"/>
      <c r="K127" s="375"/>
      <c r="L127" s="375"/>
      <c r="M127" s="375"/>
      <c r="N127" s="375"/>
      <c r="O127" s="375"/>
      <c r="P127" s="375"/>
      <c r="Q127" s="375"/>
      <c r="R127" s="375"/>
      <c r="S127" s="375"/>
      <c r="T127" s="375"/>
      <c r="U127" s="375"/>
      <c r="V127" s="375"/>
      <c r="W127" s="375"/>
      <c r="X127" s="375"/>
      <c r="Y127" s="375"/>
      <c r="Z127" s="375"/>
      <c r="AA127" s="375"/>
      <c r="AB127" s="375"/>
      <c r="AC127" s="396"/>
      <c r="AD127" s="360"/>
      <c r="AE127" s="360"/>
      <c r="AF127" s="360"/>
      <c r="AG127" s="360"/>
      <c r="AH127" s="360"/>
      <c r="AI127" s="360"/>
      <c r="AJ127" s="360"/>
      <c r="AK127" s="360"/>
    </row>
    <row r="128" spans="1:37" hidden="1" x14ac:dyDescent="0.25">
      <c r="A128" s="390"/>
      <c r="B128" s="369"/>
      <c r="C128" s="369"/>
      <c r="D128" s="369" t="s">
        <v>713</v>
      </c>
      <c r="E128" s="379">
        <v>136.578</v>
      </c>
      <c r="F128" s="380">
        <v>135.96199999999999</v>
      </c>
      <c r="G128" s="381">
        <v>135.56620000000001</v>
      </c>
      <c r="H128" s="421"/>
      <c r="I128" s="375"/>
      <c r="J128" s="375"/>
      <c r="K128" s="375"/>
      <c r="L128" s="375"/>
      <c r="M128" s="375"/>
      <c r="N128" s="375"/>
      <c r="O128" s="375"/>
      <c r="P128" s="375"/>
      <c r="Q128" s="375"/>
      <c r="R128" s="375"/>
      <c r="S128" s="375"/>
      <c r="T128" s="375"/>
      <c r="U128" s="375"/>
      <c r="V128" s="375"/>
      <c r="W128" s="375"/>
      <c r="X128" s="375"/>
      <c r="Y128" s="375"/>
      <c r="Z128" s="375"/>
      <c r="AA128" s="375"/>
      <c r="AB128" s="375"/>
      <c r="AC128" s="396"/>
      <c r="AD128" s="360"/>
      <c r="AE128" s="360"/>
      <c r="AF128" s="360"/>
      <c r="AG128" s="360"/>
      <c r="AH128" s="360"/>
      <c r="AI128" s="360"/>
      <c r="AJ128" s="360"/>
      <c r="AK128" s="360"/>
    </row>
    <row r="129" spans="1:37" hidden="1" x14ac:dyDescent="0.25">
      <c r="A129" s="390"/>
      <c r="B129" s="369"/>
      <c r="C129" s="369"/>
      <c r="D129" s="369" t="s">
        <v>696</v>
      </c>
      <c r="E129" s="382">
        <v>1.4563999999999999</v>
      </c>
      <c r="F129" s="383">
        <v>1.379</v>
      </c>
      <c r="G129" s="384">
        <v>1.3204</v>
      </c>
      <c r="H129" s="421"/>
      <c r="I129" s="375"/>
      <c r="J129" s="375"/>
      <c r="K129" s="375"/>
      <c r="L129" s="375"/>
      <c r="M129" s="375"/>
      <c r="N129" s="375"/>
      <c r="O129" s="375"/>
      <c r="P129" s="375"/>
      <c r="Q129" s="375"/>
      <c r="R129" s="375"/>
      <c r="S129" s="375"/>
      <c r="T129" s="375"/>
      <c r="U129" s="375"/>
      <c r="V129" s="375"/>
      <c r="W129" s="375"/>
      <c r="X129" s="375"/>
      <c r="Y129" s="375"/>
      <c r="Z129" s="375"/>
      <c r="AA129" s="375"/>
      <c r="AB129" s="375"/>
      <c r="AC129" s="396"/>
      <c r="AD129" s="360"/>
      <c r="AE129" s="360"/>
      <c r="AF129" s="360"/>
      <c r="AG129" s="360"/>
      <c r="AH129" s="360"/>
      <c r="AI129" s="360"/>
      <c r="AJ129" s="360"/>
      <c r="AK129" s="360"/>
    </row>
    <row r="130" spans="1:37" hidden="1" x14ac:dyDescent="0.25">
      <c r="A130" s="390"/>
      <c r="B130" s="369"/>
      <c r="C130" s="369"/>
      <c r="D130" s="369" t="s">
        <v>700</v>
      </c>
      <c r="E130" s="382">
        <v>2.911</v>
      </c>
      <c r="F130" s="383">
        <v>2.7629999999999999</v>
      </c>
      <c r="G130" s="384">
        <v>2.6438000000000001</v>
      </c>
      <c r="H130" s="421"/>
      <c r="I130" s="375"/>
      <c r="J130" s="375"/>
      <c r="K130" s="375"/>
      <c r="L130" s="375"/>
      <c r="M130" s="375"/>
      <c r="N130" s="375"/>
      <c r="O130" s="375"/>
      <c r="P130" s="375"/>
      <c r="Q130" s="375"/>
      <c r="R130" s="375"/>
      <c r="S130" s="375"/>
      <c r="T130" s="375"/>
      <c r="U130" s="375"/>
      <c r="V130" s="375"/>
      <c r="W130" s="375"/>
      <c r="X130" s="375"/>
      <c r="Y130" s="375"/>
      <c r="Z130" s="375"/>
      <c r="AA130" s="375"/>
      <c r="AB130" s="375"/>
      <c r="AC130" s="396"/>
      <c r="AD130" s="360"/>
      <c r="AE130" s="360"/>
      <c r="AF130" s="360"/>
      <c r="AG130" s="360"/>
      <c r="AH130" s="360"/>
      <c r="AI130" s="360"/>
      <c r="AJ130" s="360"/>
      <c r="AK130" s="360"/>
    </row>
    <row r="131" spans="1:37" hidden="1" x14ac:dyDescent="0.25">
      <c r="A131" s="390"/>
      <c r="B131" s="369"/>
      <c r="C131" s="369"/>
      <c r="D131" s="369" t="s">
        <v>708</v>
      </c>
      <c r="E131" s="382">
        <v>2.7682000000000002</v>
      </c>
      <c r="F131" s="383">
        <v>2.7050000000000001</v>
      </c>
      <c r="G131" s="384">
        <v>2.6461999999999999</v>
      </c>
      <c r="H131" s="421"/>
      <c r="I131" s="375"/>
      <c r="J131" s="375"/>
      <c r="K131" s="375"/>
      <c r="L131" s="375"/>
      <c r="M131" s="375"/>
      <c r="N131" s="375"/>
      <c r="O131" s="375"/>
      <c r="P131" s="375"/>
      <c r="Q131" s="375"/>
      <c r="R131" s="375"/>
      <c r="S131" s="375"/>
      <c r="T131" s="375"/>
      <c r="U131" s="375"/>
      <c r="V131" s="375"/>
      <c r="W131" s="375"/>
      <c r="X131" s="375"/>
      <c r="Y131" s="375"/>
      <c r="Z131" s="375"/>
      <c r="AA131" s="375"/>
      <c r="AB131" s="375"/>
      <c r="AC131" s="396"/>
      <c r="AD131" s="360"/>
      <c r="AE131" s="360"/>
      <c r="AF131" s="360"/>
      <c r="AG131" s="360"/>
      <c r="AH131" s="360"/>
      <c r="AI131" s="360"/>
      <c r="AJ131" s="360"/>
      <c r="AK131" s="360"/>
    </row>
    <row r="132" spans="1:37" hidden="1" x14ac:dyDescent="0.25">
      <c r="A132" s="390"/>
      <c r="B132" s="369"/>
      <c r="C132" s="369"/>
      <c r="D132" s="369" t="s">
        <v>702</v>
      </c>
      <c r="E132" s="382">
        <v>3.6057999999999999</v>
      </c>
      <c r="F132" s="383">
        <v>3.53</v>
      </c>
      <c r="G132" s="384">
        <v>3.5133999999999999</v>
      </c>
      <c r="H132" s="421"/>
      <c r="I132" s="375"/>
      <c r="J132" s="375"/>
      <c r="K132" s="375"/>
      <c r="L132" s="375"/>
      <c r="M132" s="375"/>
      <c r="N132" s="375"/>
      <c r="O132" s="375"/>
      <c r="P132" s="375"/>
      <c r="Q132" s="375"/>
      <c r="R132" s="375"/>
      <c r="S132" s="375"/>
      <c r="T132" s="375"/>
      <c r="U132" s="375"/>
      <c r="V132" s="375"/>
      <c r="W132" s="375"/>
      <c r="X132" s="375"/>
      <c r="Y132" s="375"/>
      <c r="Z132" s="375"/>
      <c r="AA132" s="375"/>
      <c r="AB132" s="375"/>
      <c r="AC132" s="396"/>
      <c r="AD132" s="360"/>
      <c r="AE132" s="360"/>
      <c r="AF132" s="360"/>
      <c r="AG132" s="360"/>
      <c r="AH132" s="360"/>
      <c r="AI132" s="360"/>
      <c r="AJ132" s="360"/>
      <c r="AK132" s="360"/>
    </row>
    <row r="133" spans="1:37" hidden="1" x14ac:dyDescent="0.25">
      <c r="A133" s="390"/>
      <c r="B133" s="369"/>
      <c r="C133" s="369"/>
      <c r="D133" s="369" t="s">
        <v>709</v>
      </c>
      <c r="E133" s="382">
        <v>3.9668000000000001</v>
      </c>
      <c r="F133" s="383">
        <v>3.7759999999999998</v>
      </c>
      <c r="G133" s="384">
        <v>3.6524000000000001</v>
      </c>
      <c r="H133" s="421"/>
      <c r="I133" s="375"/>
      <c r="J133" s="375"/>
      <c r="K133" s="375"/>
      <c r="L133" s="375"/>
      <c r="M133" s="375"/>
      <c r="N133" s="375"/>
      <c r="O133" s="375"/>
      <c r="P133" s="375"/>
      <c r="Q133" s="375"/>
      <c r="R133" s="375"/>
      <c r="S133" s="375"/>
      <c r="T133" s="375"/>
      <c r="U133" s="375"/>
      <c r="V133" s="375"/>
      <c r="W133" s="375"/>
      <c r="X133" s="375"/>
      <c r="Y133" s="375"/>
      <c r="Z133" s="375"/>
      <c r="AA133" s="375"/>
      <c r="AB133" s="375"/>
      <c r="AC133" s="396"/>
      <c r="AD133" s="360"/>
      <c r="AE133" s="360"/>
      <c r="AF133" s="360"/>
      <c r="AG133" s="360"/>
      <c r="AH133" s="360"/>
      <c r="AI133" s="360"/>
      <c r="AJ133" s="360"/>
      <c r="AK133" s="360"/>
    </row>
    <row r="134" spans="1:37" s="386" customFormat="1" hidden="1" x14ac:dyDescent="0.25">
      <c r="A134" s="409"/>
      <c r="B134" s="406"/>
      <c r="C134" s="406"/>
      <c r="D134" s="406"/>
      <c r="E134" s="407">
        <v>2016</v>
      </c>
      <c r="F134" s="407">
        <v>2017</v>
      </c>
      <c r="G134" s="407">
        <v>2018</v>
      </c>
      <c r="H134" s="407"/>
      <c r="I134" s="407"/>
      <c r="J134" s="407"/>
      <c r="K134" s="407"/>
      <c r="L134" s="407"/>
      <c r="M134" s="407"/>
      <c r="N134" s="407"/>
      <c r="O134" s="407"/>
      <c r="P134" s="407"/>
      <c r="Q134" s="407"/>
      <c r="R134" s="407"/>
      <c r="S134" s="407"/>
      <c r="T134" s="407"/>
      <c r="U134" s="407"/>
      <c r="V134" s="407"/>
      <c r="W134" s="407"/>
      <c r="X134" s="407"/>
      <c r="Y134" s="407"/>
      <c r="Z134" s="407"/>
      <c r="AA134" s="407"/>
      <c r="AB134" s="407"/>
      <c r="AC134" s="413"/>
    </row>
    <row r="135" spans="1:37" x14ac:dyDescent="0.25">
      <c r="A135" s="422" t="s">
        <v>566</v>
      </c>
      <c r="B135" s="437" t="s">
        <v>562</v>
      </c>
      <c r="C135" s="437" t="s">
        <v>1600</v>
      </c>
      <c r="D135" s="436" t="s">
        <v>904</v>
      </c>
      <c r="E135" s="420">
        <v>8.4</v>
      </c>
      <c r="F135" s="420">
        <v>8.4</v>
      </c>
      <c r="G135" s="420">
        <v>8.4</v>
      </c>
      <c r="H135" s="421">
        <v>2016</v>
      </c>
      <c r="I135" s="421">
        <v>8.4</v>
      </c>
      <c r="J135" s="421">
        <v>2015</v>
      </c>
      <c r="K135" s="411">
        <v>9.6007999999999996</v>
      </c>
      <c r="L135" s="421">
        <f>AVERAGE(G136:G140)</f>
        <v>13.440000000000001</v>
      </c>
      <c r="M135" s="421"/>
      <c r="N135" s="421">
        <f>(L135-K135)*0.5+K135</f>
        <v>11.5204</v>
      </c>
      <c r="O135" s="421">
        <f>(Table14[[#This Row],[Ambitious target 2030]]-Table14[[#This Row],[Model reference value]])*0.25+Table14[[#This Row],[Model reference value]]</f>
        <v>10.560600000000001</v>
      </c>
      <c r="P135" s="421">
        <f>K135</f>
        <v>9.6007999999999996</v>
      </c>
      <c r="Q135" s="421">
        <f>AVERAGE(G136:G140)*1.1</f>
        <v>14.784000000000002</v>
      </c>
      <c r="R135" s="421"/>
      <c r="S135" s="421">
        <f>(Table14[[#This Row],[Ambitious target 2050]]-Table14[[#This Row],[Model reference value]])*0.5+Table14[[#This Row],[Model reference value]]</f>
        <v>12.192400000000001</v>
      </c>
      <c r="T135" s="421">
        <f>(Table14[[#This Row],[Ambitious target 2050]]-Table14[[#This Row],[Model reference value]])*0.25+Table14[[#This Row],[Model reference value]]</f>
        <v>10.896599999999999</v>
      </c>
      <c r="U135" s="421">
        <f>Table14[[#This Row],[Worst value 2030]]</f>
        <v>9.6007999999999996</v>
      </c>
      <c r="V135" s="421">
        <f>AVERAGE(G136:G140)*1.2</f>
        <v>16.128</v>
      </c>
      <c r="W135" s="421"/>
      <c r="X135" s="421">
        <f>(Table14[[#This Row],[Ambitious target 2100]]-Table14[[#This Row],[Model reference value]])*0.5+Table14[[#This Row],[Model reference value]]</f>
        <v>12.8644</v>
      </c>
      <c r="Y135" s="421">
        <f>(Table14[[#This Row],[Ambitious target 2100]]-Table14[[#This Row],[Model reference value]])*0.25+Table14[[#This Row],[Model reference value]]</f>
        <v>11.2326</v>
      </c>
      <c r="Z135" s="421">
        <f>Table14[[#This Row],[Worst value 2030]]</f>
        <v>9.6007999999999996</v>
      </c>
      <c r="AA135" s="421" t="s">
        <v>1556</v>
      </c>
      <c r="AB135" s="421" t="s">
        <v>1579</v>
      </c>
      <c r="AC135" s="419" t="s">
        <v>723</v>
      </c>
      <c r="AD135" s="360"/>
      <c r="AE135" s="360"/>
      <c r="AF135" s="360"/>
      <c r="AG135" s="360"/>
      <c r="AH135" s="360"/>
      <c r="AI135" s="360"/>
      <c r="AJ135" s="360"/>
      <c r="AK135" s="360"/>
    </row>
    <row r="136" spans="1:37" hidden="1" x14ac:dyDescent="0.25">
      <c r="A136" s="390"/>
      <c r="B136" s="369"/>
      <c r="C136" s="369"/>
      <c r="D136" s="369" t="s">
        <v>724</v>
      </c>
      <c r="E136" s="379">
        <v>14.1</v>
      </c>
      <c r="F136" s="380">
        <v>14.1</v>
      </c>
      <c r="G136" s="381">
        <v>14.1</v>
      </c>
      <c r="H136" s="421"/>
      <c r="I136" s="375"/>
      <c r="J136" s="375"/>
      <c r="K136" s="375"/>
      <c r="L136" s="375"/>
      <c r="M136" s="375"/>
      <c r="N136" s="375"/>
      <c r="O136" s="375"/>
      <c r="P136" s="375"/>
      <c r="Q136" s="375"/>
      <c r="R136" s="375"/>
      <c r="S136" s="375"/>
      <c r="T136" s="375"/>
      <c r="U136" s="375"/>
      <c r="V136" s="375"/>
      <c r="W136" s="375"/>
      <c r="X136" s="375"/>
      <c r="Y136" s="375"/>
      <c r="Z136" s="375"/>
      <c r="AA136" s="375"/>
      <c r="AB136" s="375"/>
      <c r="AC136" s="396"/>
      <c r="AD136" s="360"/>
      <c r="AE136" s="360"/>
      <c r="AF136" s="360"/>
      <c r="AG136" s="360"/>
      <c r="AH136" s="360"/>
      <c r="AI136" s="360"/>
      <c r="AJ136" s="360"/>
      <c r="AK136" s="360"/>
    </row>
    <row r="137" spans="1:37" hidden="1" x14ac:dyDescent="0.25">
      <c r="A137" s="390"/>
      <c r="B137" s="369"/>
      <c r="C137" s="369"/>
      <c r="D137" s="369" t="s">
        <v>725</v>
      </c>
      <c r="E137" s="379">
        <v>13.4</v>
      </c>
      <c r="F137" s="380">
        <v>13.4</v>
      </c>
      <c r="G137" s="381">
        <v>13.4</v>
      </c>
      <c r="H137" s="421"/>
      <c r="I137" s="375"/>
      <c r="J137" s="375"/>
      <c r="K137" s="375"/>
      <c r="L137" s="375"/>
      <c r="M137" s="375"/>
      <c r="N137" s="375"/>
      <c r="O137" s="375"/>
      <c r="P137" s="375"/>
      <c r="Q137" s="375"/>
      <c r="R137" s="375"/>
      <c r="S137" s="375"/>
      <c r="T137" s="375"/>
      <c r="U137" s="375"/>
      <c r="V137" s="375"/>
      <c r="W137" s="375"/>
      <c r="X137" s="375"/>
      <c r="Y137" s="375"/>
      <c r="Z137" s="375"/>
      <c r="AA137" s="375"/>
      <c r="AB137" s="375"/>
      <c r="AC137" s="396"/>
      <c r="AD137" s="360"/>
      <c r="AE137" s="360"/>
      <c r="AF137" s="360"/>
      <c r="AG137" s="360"/>
      <c r="AH137" s="360"/>
      <c r="AI137" s="360"/>
      <c r="AJ137" s="360"/>
      <c r="AK137" s="360"/>
    </row>
    <row r="138" spans="1:37" hidden="1" x14ac:dyDescent="0.25">
      <c r="A138" s="390"/>
      <c r="B138" s="369"/>
      <c r="C138" s="369"/>
      <c r="D138" s="369" t="s">
        <v>726</v>
      </c>
      <c r="E138" s="379">
        <v>13.4</v>
      </c>
      <c r="F138" s="380">
        <v>13.4</v>
      </c>
      <c r="G138" s="381">
        <v>13.4</v>
      </c>
      <c r="H138" s="421"/>
      <c r="I138" s="375"/>
      <c r="J138" s="375"/>
      <c r="K138" s="375"/>
      <c r="L138" s="375"/>
      <c r="M138" s="375"/>
      <c r="N138" s="375"/>
      <c r="O138" s="375"/>
      <c r="P138" s="375"/>
      <c r="Q138" s="375"/>
      <c r="R138" s="375"/>
      <c r="S138" s="375"/>
      <c r="T138" s="375"/>
      <c r="U138" s="375"/>
      <c r="V138" s="375"/>
      <c r="W138" s="375"/>
      <c r="X138" s="375"/>
      <c r="Y138" s="375"/>
      <c r="Z138" s="375"/>
      <c r="AA138" s="375"/>
      <c r="AB138" s="375"/>
      <c r="AC138" s="396"/>
      <c r="AD138" s="360"/>
      <c r="AE138" s="360"/>
      <c r="AF138" s="360"/>
      <c r="AG138" s="360"/>
      <c r="AH138" s="360"/>
      <c r="AI138" s="360"/>
      <c r="AJ138" s="360"/>
      <c r="AK138" s="360"/>
    </row>
    <row r="139" spans="1:37" hidden="1" x14ac:dyDescent="0.25">
      <c r="A139" s="390"/>
      <c r="B139" s="369"/>
      <c r="C139" s="369"/>
      <c r="D139" s="369" t="s">
        <v>727</v>
      </c>
      <c r="E139" s="379">
        <v>13.3</v>
      </c>
      <c r="F139" s="380">
        <v>13.3</v>
      </c>
      <c r="G139" s="381">
        <v>13.3</v>
      </c>
      <c r="H139" s="421"/>
      <c r="I139" s="375"/>
      <c r="J139" s="375"/>
      <c r="K139" s="375"/>
      <c r="L139" s="375"/>
      <c r="M139" s="375"/>
      <c r="N139" s="375"/>
      <c r="O139" s="375"/>
      <c r="P139" s="375"/>
      <c r="Q139" s="375"/>
      <c r="R139" s="375"/>
      <c r="S139" s="375"/>
      <c r="T139" s="375"/>
      <c r="U139" s="375"/>
      <c r="V139" s="375"/>
      <c r="W139" s="375"/>
      <c r="X139" s="375"/>
      <c r="Y139" s="375"/>
      <c r="Z139" s="375"/>
      <c r="AA139" s="375"/>
      <c r="AB139" s="375"/>
      <c r="AC139" s="396"/>
      <c r="AD139" s="360"/>
      <c r="AE139" s="360"/>
      <c r="AF139" s="360"/>
      <c r="AG139" s="360"/>
      <c r="AH139" s="360"/>
      <c r="AI139" s="360"/>
      <c r="AJ139" s="360"/>
      <c r="AK139" s="360"/>
    </row>
    <row r="140" spans="1:37" hidden="1" x14ac:dyDescent="0.25">
      <c r="A140" s="390"/>
      <c r="B140" s="369"/>
      <c r="C140" s="369"/>
      <c r="D140" s="369" t="s">
        <v>728</v>
      </c>
      <c r="E140" s="379">
        <v>13.1</v>
      </c>
      <c r="F140" s="380">
        <v>13</v>
      </c>
      <c r="G140" s="381">
        <v>13</v>
      </c>
      <c r="H140" s="421"/>
      <c r="I140" s="375"/>
      <c r="J140" s="375"/>
      <c r="K140" s="375"/>
      <c r="L140" s="375"/>
      <c r="M140" s="375"/>
      <c r="N140" s="375"/>
      <c r="O140" s="375"/>
      <c r="P140" s="375"/>
      <c r="Q140" s="375"/>
      <c r="R140" s="375"/>
      <c r="S140" s="375"/>
      <c r="T140" s="375"/>
      <c r="U140" s="375"/>
      <c r="V140" s="375"/>
      <c r="W140" s="375"/>
      <c r="X140" s="375"/>
      <c r="Y140" s="375"/>
      <c r="Z140" s="375"/>
      <c r="AA140" s="375"/>
      <c r="AB140" s="375"/>
      <c r="AC140" s="396"/>
      <c r="AD140" s="360"/>
      <c r="AE140" s="360"/>
      <c r="AF140" s="360"/>
      <c r="AG140" s="360"/>
      <c r="AH140" s="360"/>
      <c r="AI140" s="360"/>
      <c r="AJ140" s="360"/>
      <c r="AK140" s="360"/>
    </row>
    <row r="141" spans="1:37" hidden="1" x14ac:dyDescent="0.25">
      <c r="A141" s="390"/>
      <c r="B141" s="369"/>
      <c r="C141" s="369"/>
      <c r="D141" s="369" t="s">
        <v>729</v>
      </c>
      <c r="E141" s="382">
        <v>1.9</v>
      </c>
      <c r="F141" s="383">
        <v>2</v>
      </c>
      <c r="G141" s="384">
        <v>2</v>
      </c>
      <c r="H141" s="421"/>
      <c r="I141" s="375"/>
      <c r="J141" s="375"/>
      <c r="K141" s="375"/>
      <c r="L141" s="375"/>
      <c r="M141" s="375"/>
      <c r="N141" s="375"/>
      <c r="O141" s="375"/>
      <c r="P141" s="375"/>
      <c r="Q141" s="375"/>
      <c r="R141" s="375"/>
      <c r="S141" s="375"/>
      <c r="T141" s="375"/>
      <c r="U141" s="375"/>
      <c r="V141" s="375"/>
      <c r="W141" s="375"/>
      <c r="X141" s="375"/>
      <c r="Y141" s="375"/>
      <c r="Z141" s="375"/>
      <c r="AA141" s="375"/>
      <c r="AB141" s="375"/>
      <c r="AC141" s="396"/>
      <c r="AD141" s="360"/>
      <c r="AE141" s="360"/>
      <c r="AF141" s="360"/>
      <c r="AG141" s="360"/>
      <c r="AH141" s="360"/>
      <c r="AI141" s="360"/>
      <c r="AJ141" s="360"/>
      <c r="AK141" s="360"/>
    </row>
    <row r="142" spans="1:37" hidden="1" x14ac:dyDescent="0.25">
      <c r="A142" s="390"/>
      <c r="B142" s="369"/>
      <c r="C142" s="369"/>
      <c r="D142" s="369" t="s">
        <v>730</v>
      </c>
      <c r="E142" s="382">
        <v>2.4</v>
      </c>
      <c r="F142" s="383">
        <v>2.4</v>
      </c>
      <c r="G142" s="384">
        <v>2.4</v>
      </c>
      <c r="H142" s="421"/>
      <c r="I142" s="375"/>
      <c r="J142" s="375"/>
      <c r="K142" s="375"/>
      <c r="L142" s="375"/>
      <c r="M142" s="375"/>
      <c r="N142" s="375"/>
      <c r="O142" s="375"/>
      <c r="P142" s="375"/>
      <c r="Q142" s="375"/>
      <c r="R142" s="375"/>
      <c r="S142" s="375"/>
      <c r="T142" s="375"/>
      <c r="U142" s="375"/>
      <c r="V142" s="375"/>
      <c r="W142" s="375"/>
      <c r="X142" s="375"/>
      <c r="Y142" s="375"/>
      <c r="Z142" s="375"/>
      <c r="AA142" s="375"/>
      <c r="AB142" s="375"/>
      <c r="AC142" s="396"/>
      <c r="AD142" s="360"/>
      <c r="AE142" s="360"/>
      <c r="AF142" s="360"/>
      <c r="AG142" s="360"/>
      <c r="AH142" s="360"/>
      <c r="AI142" s="360"/>
      <c r="AJ142" s="360"/>
      <c r="AK142" s="360"/>
    </row>
    <row r="143" spans="1:37" hidden="1" x14ac:dyDescent="0.25">
      <c r="A143" s="390"/>
      <c r="B143" s="369"/>
      <c r="C143" s="369"/>
      <c r="D143" s="369" t="s">
        <v>731</v>
      </c>
      <c r="E143" s="382">
        <v>2.2000000000000002</v>
      </c>
      <c r="F143" s="383">
        <v>2.4</v>
      </c>
      <c r="G143" s="384">
        <v>2.4</v>
      </c>
      <c r="H143" s="421"/>
      <c r="I143" s="375"/>
      <c r="J143" s="375"/>
      <c r="K143" s="375"/>
      <c r="L143" s="375"/>
      <c r="M143" s="375"/>
      <c r="N143" s="375"/>
      <c r="O143" s="375"/>
      <c r="P143" s="375"/>
      <c r="Q143" s="375"/>
      <c r="R143" s="375"/>
      <c r="S143" s="375"/>
      <c r="T143" s="375"/>
      <c r="U143" s="375"/>
      <c r="V143" s="375"/>
      <c r="W143" s="375"/>
      <c r="X143" s="375"/>
      <c r="Y143" s="375"/>
      <c r="Z143" s="375"/>
      <c r="AA143" s="375"/>
      <c r="AB143" s="375"/>
      <c r="AC143" s="396"/>
      <c r="AD143" s="360"/>
      <c r="AE143" s="360"/>
      <c r="AF143" s="360"/>
      <c r="AG143" s="360"/>
      <c r="AH143" s="360"/>
      <c r="AI143" s="360"/>
      <c r="AJ143" s="360"/>
      <c r="AK143" s="360"/>
    </row>
    <row r="144" spans="1:37" hidden="1" x14ac:dyDescent="0.25">
      <c r="A144" s="390"/>
      <c r="B144" s="369"/>
      <c r="C144" s="369"/>
      <c r="D144" s="369" t="s">
        <v>732</v>
      </c>
      <c r="E144" s="382">
        <v>2.7</v>
      </c>
      <c r="F144" s="383">
        <v>2.7</v>
      </c>
      <c r="G144" s="384">
        <v>2.7</v>
      </c>
      <c r="H144" s="421"/>
      <c r="I144" s="375"/>
      <c r="J144" s="375"/>
      <c r="K144" s="375"/>
      <c r="L144" s="375"/>
      <c r="M144" s="375"/>
      <c r="N144" s="375"/>
      <c r="O144" s="375"/>
      <c r="P144" s="375"/>
      <c r="Q144" s="375"/>
      <c r="R144" s="375"/>
      <c r="S144" s="375"/>
      <c r="T144" s="375"/>
      <c r="U144" s="375"/>
      <c r="V144" s="375"/>
      <c r="W144" s="375"/>
      <c r="X144" s="375"/>
      <c r="Y144" s="375"/>
      <c r="Z144" s="375"/>
      <c r="AA144" s="375"/>
      <c r="AB144" s="375"/>
      <c r="AC144" s="396"/>
      <c r="AD144" s="360"/>
      <c r="AE144" s="360"/>
      <c r="AF144" s="360"/>
      <c r="AG144" s="360"/>
      <c r="AH144" s="360"/>
      <c r="AI144" s="360"/>
      <c r="AJ144" s="360"/>
      <c r="AK144" s="360"/>
    </row>
    <row r="145" spans="1:37" hidden="1" x14ac:dyDescent="0.25">
      <c r="A145" s="390"/>
      <c r="B145" s="369"/>
      <c r="C145" s="369"/>
      <c r="D145" s="369" t="s">
        <v>733</v>
      </c>
      <c r="E145" s="382">
        <v>2.7</v>
      </c>
      <c r="F145" s="383">
        <v>2.8</v>
      </c>
      <c r="G145" s="384">
        <v>2.8</v>
      </c>
      <c r="H145" s="421"/>
      <c r="I145" s="375"/>
      <c r="J145" s="375"/>
      <c r="K145" s="375"/>
      <c r="L145" s="375"/>
      <c r="M145" s="375"/>
      <c r="N145" s="375"/>
      <c r="O145" s="375"/>
      <c r="P145" s="375"/>
      <c r="Q145" s="375"/>
      <c r="R145" s="375"/>
      <c r="S145" s="375"/>
      <c r="T145" s="375"/>
      <c r="U145" s="375"/>
      <c r="V145" s="375"/>
      <c r="W145" s="375"/>
      <c r="X145" s="375"/>
      <c r="Y145" s="375"/>
      <c r="Z145" s="375"/>
      <c r="AA145" s="375"/>
      <c r="AB145" s="375"/>
      <c r="AC145" s="396"/>
      <c r="AD145" s="360"/>
      <c r="AE145" s="360"/>
      <c r="AF145" s="360"/>
      <c r="AG145" s="360"/>
      <c r="AH145" s="360"/>
      <c r="AI145" s="360"/>
      <c r="AJ145" s="360"/>
      <c r="AK145" s="360"/>
    </row>
    <row r="146" spans="1:37" s="386" customFormat="1" hidden="1" x14ac:dyDescent="0.25">
      <c r="A146" s="409"/>
      <c r="B146" s="406"/>
      <c r="C146" s="406"/>
      <c r="D146" s="406"/>
      <c r="E146" s="407"/>
      <c r="F146" s="407"/>
      <c r="G146" s="407">
        <v>2017</v>
      </c>
      <c r="H146" s="407"/>
      <c r="I146" s="407"/>
      <c r="J146" s="407"/>
      <c r="K146" s="407"/>
      <c r="L146" s="407"/>
      <c r="M146" s="407"/>
      <c r="N146" s="407"/>
      <c r="O146" s="407"/>
      <c r="P146" s="407"/>
      <c r="Q146" s="407"/>
      <c r="R146" s="407"/>
      <c r="S146" s="407"/>
      <c r="T146" s="407"/>
      <c r="U146" s="407"/>
      <c r="V146" s="407"/>
      <c r="W146" s="407"/>
      <c r="X146" s="407"/>
      <c r="Y146" s="407"/>
      <c r="Z146" s="407"/>
      <c r="AA146" s="407"/>
      <c r="AB146" s="407"/>
      <c r="AC146" s="413"/>
    </row>
    <row r="147" spans="1:37" x14ac:dyDescent="0.25">
      <c r="A147" s="422" t="s">
        <v>560</v>
      </c>
      <c r="B147" s="437" t="s">
        <v>561</v>
      </c>
      <c r="C147" s="437" t="s">
        <v>473</v>
      </c>
      <c r="D147" s="436" t="s">
        <v>799</v>
      </c>
      <c r="E147" s="420"/>
      <c r="F147" s="420"/>
      <c r="G147" s="420">
        <v>43.73</v>
      </c>
      <c r="H147" s="421">
        <v>2017</v>
      </c>
      <c r="I147" s="421">
        <v>43.73</v>
      </c>
      <c r="J147" s="421">
        <v>2015</v>
      </c>
      <c r="K147" s="411">
        <v>17.450500000000002</v>
      </c>
      <c r="L147" s="421">
        <f>AVERAGE(G148:G152)</f>
        <v>60.862000000000002</v>
      </c>
      <c r="M147" s="421"/>
      <c r="N147" s="421">
        <f>(L147-K147)*0.5+K147</f>
        <v>39.15625</v>
      </c>
      <c r="O147" s="421">
        <f>(Table14[[#This Row],[Ambitious target 2030]]-Table14[[#This Row],[Model reference value]])*0.25+Table14[[#This Row],[Model reference value]]</f>
        <v>28.303375000000003</v>
      </c>
      <c r="P147" s="421">
        <f>K147</f>
        <v>17.450500000000002</v>
      </c>
      <c r="Q147" s="421">
        <f>AVERAGE(G148:G152)*1.2</f>
        <v>73.034400000000005</v>
      </c>
      <c r="R147" s="421"/>
      <c r="S147" s="421">
        <f>(Table14[[#This Row],[Ambitious target 2050]]-Table14[[#This Row],[Model reference value]])*0.5+Table14[[#This Row],[Model reference value]]</f>
        <v>45.242450000000005</v>
      </c>
      <c r="T147" s="421">
        <f>(Table14[[#This Row],[Ambitious target 2050]]-Table14[[#This Row],[Model reference value]])*0.25+Table14[[#This Row],[Model reference value]]</f>
        <v>31.346475000000002</v>
      </c>
      <c r="U147" s="421">
        <f>Table14[[#This Row],[Worst value 2030]]</f>
        <v>17.450500000000002</v>
      </c>
      <c r="V147" s="421">
        <f>AVERAGE(G148:G152)*1.5</f>
        <v>91.293000000000006</v>
      </c>
      <c r="W147" s="421"/>
      <c r="X147" s="421">
        <f>(Table14[[#This Row],[Ambitious target 2100]]-Table14[[#This Row],[Model reference value]])*0.5+Table14[[#This Row],[Model reference value]]</f>
        <v>54.371750000000006</v>
      </c>
      <c r="Y147" s="421">
        <f>(Table14[[#This Row],[Ambitious target 2100]]-Table14[[#This Row],[Model reference value]])*0.25+Table14[[#This Row],[Model reference value]]</f>
        <v>35.911124999999998</v>
      </c>
      <c r="Z147" s="421">
        <f>Table14[[#This Row],[Worst value 2030]]</f>
        <v>17.450500000000002</v>
      </c>
      <c r="AA147" s="421" t="s">
        <v>1556</v>
      </c>
      <c r="AB147" s="421" t="s">
        <v>1578</v>
      </c>
      <c r="AC147" s="419" t="s">
        <v>770</v>
      </c>
      <c r="AD147" s="360"/>
      <c r="AE147" s="360"/>
      <c r="AF147" s="360"/>
      <c r="AG147" s="360"/>
      <c r="AH147" s="360"/>
      <c r="AI147" s="360"/>
      <c r="AJ147" s="360"/>
      <c r="AK147" s="360"/>
    </row>
    <row r="148" spans="1:37" hidden="1" x14ac:dyDescent="0.25">
      <c r="A148" s="390"/>
      <c r="B148" s="369"/>
      <c r="C148" s="369"/>
      <c r="D148" s="369" t="s">
        <v>771</v>
      </c>
      <c r="E148" s="379"/>
      <c r="F148" s="380"/>
      <c r="G148" s="381">
        <v>69.75</v>
      </c>
      <c r="H148" s="421"/>
      <c r="I148" s="375"/>
      <c r="J148" s="375"/>
      <c r="K148" s="375"/>
      <c r="L148" s="375"/>
      <c r="M148" s="375"/>
      <c r="N148" s="375"/>
      <c r="O148" s="375"/>
      <c r="P148" s="375"/>
      <c r="Q148" s="375"/>
      <c r="R148" s="375"/>
      <c r="S148" s="375"/>
      <c r="T148" s="375"/>
      <c r="U148" s="375"/>
      <c r="V148" s="375"/>
      <c r="W148" s="375"/>
      <c r="X148" s="375"/>
      <c r="Y148" s="375"/>
      <c r="Z148" s="375"/>
      <c r="AA148" s="375"/>
      <c r="AB148" s="375"/>
      <c r="AC148" s="396"/>
      <c r="AD148" s="360"/>
      <c r="AE148" s="360"/>
      <c r="AF148" s="360"/>
      <c r="AG148" s="360"/>
      <c r="AH148" s="360"/>
      <c r="AI148" s="360"/>
      <c r="AJ148" s="360"/>
      <c r="AK148" s="360"/>
    </row>
    <row r="149" spans="1:37" hidden="1" x14ac:dyDescent="0.25">
      <c r="A149" s="390"/>
      <c r="B149" s="369"/>
      <c r="C149" s="369"/>
      <c r="D149" s="369" t="s">
        <v>772</v>
      </c>
      <c r="E149" s="379"/>
      <c r="F149" s="380"/>
      <c r="G149" s="381">
        <v>60.92</v>
      </c>
      <c r="H149" s="421"/>
      <c r="I149" s="375"/>
      <c r="J149" s="375"/>
      <c r="K149" s="375"/>
      <c r="L149" s="375"/>
      <c r="M149" s="375"/>
      <c r="N149" s="375"/>
      <c r="O149" s="375"/>
      <c r="P149" s="375"/>
      <c r="Q149" s="375"/>
      <c r="R149" s="375"/>
      <c r="S149" s="375"/>
      <c r="T149" s="375"/>
      <c r="U149" s="375"/>
      <c r="V149" s="375"/>
      <c r="W149" s="375"/>
      <c r="X149" s="375"/>
      <c r="Y149" s="375"/>
      <c r="Z149" s="375"/>
      <c r="AA149" s="375"/>
      <c r="AB149" s="375"/>
      <c r="AC149" s="396"/>
      <c r="AD149" s="360"/>
      <c r="AE149" s="360"/>
      <c r="AF149" s="360"/>
      <c r="AG149" s="360"/>
      <c r="AH149" s="360"/>
      <c r="AI149" s="360"/>
      <c r="AJ149" s="360"/>
      <c r="AK149" s="360"/>
    </row>
    <row r="150" spans="1:37" hidden="1" x14ac:dyDescent="0.25">
      <c r="A150" s="390"/>
      <c r="B150" s="369"/>
      <c r="C150" s="369"/>
      <c r="D150" s="369" t="s">
        <v>715</v>
      </c>
      <c r="E150" s="379"/>
      <c r="F150" s="380"/>
      <c r="G150" s="381">
        <v>60.43</v>
      </c>
      <c r="H150" s="421"/>
      <c r="I150" s="375"/>
      <c r="J150" s="375"/>
      <c r="K150" s="375"/>
      <c r="L150" s="375"/>
      <c r="M150" s="375"/>
      <c r="N150" s="375"/>
      <c r="O150" s="375"/>
      <c r="P150" s="375"/>
      <c r="Q150" s="375"/>
      <c r="R150" s="375"/>
      <c r="S150" s="375"/>
      <c r="T150" s="375"/>
      <c r="U150" s="375"/>
      <c r="V150" s="375"/>
      <c r="W150" s="375"/>
      <c r="X150" s="375"/>
      <c r="Y150" s="375"/>
      <c r="Z150" s="375"/>
      <c r="AA150" s="375"/>
      <c r="AB150" s="375"/>
      <c r="AC150" s="396"/>
      <c r="AD150" s="360"/>
      <c r="AE150" s="360"/>
      <c r="AF150" s="360"/>
      <c r="AG150" s="360"/>
      <c r="AH150" s="360"/>
      <c r="AI150" s="360"/>
      <c r="AJ150" s="360"/>
      <c r="AK150" s="360"/>
    </row>
    <row r="151" spans="1:37" hidden="1" x14ac:dyDescent="0.25">
      <c r="A151" s="390"/>
      <c r="B151" s="369"/>
      <c r="C151" s="369"/>
      <c r="D151" s="369" t="s">
        <v>773</v>
      </c>
      <c r="E151" s="379"/>
      <c r="F151" s="380"/>
      <c r="G151" s="381">
        <v>57.58</v>
      </c>
      <c r="H151" s="421"/>
      <c r="I151" s="375"/>
      <c r="J151" s="375"/>
      <c r="K151" s="375"/>
      <c r="L151" s="375"/>
      <c r="M151" s="375"/>
      <c r="N151" s="375"/>
      <c r="O151" s="375"/>
      <c r="P151" s="375"/>
      <c r="Q151" s="375"/>
      <c r="R151" s="375"/>
      <c r="S151" s="375"/>
      <c r="T151" s="375"/>
      <c r="U151" s="375"/>
      <c r="V151" s="375"/>
      <c r="W151" s="375"/>
      <c r="X151" s="375"/>
      <c r="Y151" s="375"/>
      <c r="Z151" s="375"/>
      <c r="AA151" s="375"/>
      <c r="AB151" s="375"/>
      <c r="AC151" s="396"/>
      <c r="AD151" s="360"/>
      <c r="AE151" s="360"/>
      <c r="AF151" s="360"/>
      <c r="AG151" s="360"/>
      <c r="AH151" s="360"/>
      <c r="AI151" s="360"/>
      <c r="AJ151" s="360"/>
      <c r="AK151" s="360"/>
    </row>
    <row r="152" spans="1:37" hidden="1" x14ac:dyDescent="0.25">
      <c r="A152" s="390"/>
      <c r="B152" s="369"/>
      <c r="C152" s="369"/>
      <c r="D152" s="369" t="s">
        <v>774</v>
      </c>
      <c r="E152" s="379"/>
      <c r="F152" s="380"/>
      <c r="G152" s="381">
        <v>55.63</v>
      </c>
      <c r="H152" s="421"/>
      <c r="I152" s="375"/>
      <c r="J152" s="375"/>
      <c r="K152" s="375"/>
      <c r="L152" s="375"/>
      <c r="M152" s="375"/>
      <c r="N152" s="375"/>
      <c r="O152" s="375"/>
      <c r="P152" s="375"/>
      <c r="Q152" s="375"/>
      <c r="R152" s="375"/>
      <c r="S152" s="375"/>
      <c r="T152" s="375"/>
      <c r="U152" s="375"/>
      <c r="V152" s="375"/>
      <c r="W152" s="375"/>
      <c r="X152" s="375"/>
      <c r="Y152" s="375"/>
      <c r="Z152" s="375"/>
      <c r="AA152" s="375"/>
      <c r="AB152" s="375"/>
      <c r="AC152" s="396"/>
      <c r="AD152" s="360"/>
      <c r="AE152" s="360"/>
      <c r="AF152" s="360"/>
      <c r="AG152" s="360"/>
      <c r="AH152" s="360"/>
      <c r="AI152" s="360"/>
      <c r="AJ152" s="360"/>
      <c r="AK152" s="360"/>
    </row>
    <row r="153" spans="1:37" hidden="1" x14ac:dyDescent="0.25">
      <c r="A153" s="390"/>
      <c r="B153" s="369"/>
      <c r="C153" s="369"/>
      <c r="D153" s="369" t="s">
        <v>777</v>
      </c>
      <c r="E153" s="382"/>
      <c r="F153" s="383"/>
      <c r="G153" s="384">
        <v>17.95</v>
      </c>
      <c r="H153" s="421"/>
      <c r="I153" s="375"/>
      <c r="J153" s="375"/>
      <c r="K153" s="375"/>
      <c r="L153" s="375"/>
      <c r="M153" s="375"/>
      <c r="N153" s="375"/>
      <c r="O153" s="375"/>
      <c r="P153" s="375"/>
      <c r="Q153" s="375"/>
      <c r="R153" s="375"/>
      <c r="S153" s="375"/>
      <c r="T153" s="375"/>
      <c r="U153" s="375"/>
      <c r="V153" s="375"/>
      <c r="W153" s="375"/>
      <c r="X153" s="375"/>
      <c r="Y153" s="375"/>
      <c r="Z153" s="375"/>
      <c r="AA153" s="375"/>
      <c r="AB153" s="375"/>
      <c r="AC153" s="396"/>
      <c r="AD153" s="360"/>
      <c r="AE153" s="360"/>
      <c r="AF153" s="360"/>
      <c r="AG153" s="360"/>
      <c r="AH153" s="360"/>
      <c r="AI153" s="360"/>
      <c r="AJ153" s="360"/>
      <c r="AK153" s="360"/>
    </row>
    <row r="154" spans="1:37" hidden="1" x14ac:dyDescent="0.25">
      <c r="A154" s="390"/>
      <c r="B154" s="369"/>
      <c r="C154" s="369"/>
      <c r="D154" s="369" t="s">
        <v>778</v>
      </c>
      <c r="E154" s="382"/>
      <c r="F154" s="383"/>
      <c r="G154" s="384">
        <v>16.63</v>
      </c>
      <c r="H154" s="421"/>
      <c r="I154" s="375"/>
      <c r="J154" s="375"/>
      <c r="K154" s="375"/>
      <c r="L154" s="375"/>
      <c r="M154" s="375"/>
      <c r="N154" s="375"/>
      <c r="O154" s="375"/>
      <c r="P154" s="375"/>
      <c r="Q154" s="375"/>
      <c r="R154" s="375"/>
      <c r="S154" s="375"/>
      <c r="T154" s="375"/>
      <c r="U154" s="375"/>
      <c r="V154" s="375"/>
      <c r="W154" s="375"/>
      <c r="X154" s="375"/>
      <c r="Y154" s="375"/>
      <c r="Z154" s="375"/>
      <c r="AA154" s="375"/>
      <c r="AB154" s="375"/>
      <c r="AC154" s="396"/>
      <c r="AD154" s="360"/>
      <c r="AE154" s="360"/>
      <c r="AF154" s="360"/>
      <c r="AG154" s="360"/>
      <c r="AH154" s="360"/>
      <c r="AI154" s="360"/>
      <c r="AJ154" s="360"/>
      <c r="AK154" s="360"/>
    </row>
    <row r="155" spans="1:37" hidden="1" x14ac:dyDescent="0.25">
      <c r="A155" s="390"/>
      <c r="B155" s="369"/>
      <c r="C155" s="369"/>
      <c r="D155" s="369" t="s">
        <v>775</v>
      </c>
      <c r="E155" s="382"/>
      <c r="F155" s="383"/>
      <c r="G155" s="384">
        <v>16.13</v>
      </c>
      <c r="H155" s="421"/>
      <c r="I155" s="375"/>
      <c r="J155" s="375"/>
      <c r="K155" s="375"/>
      <c r="L155" s="375"/>
      <c r="M155" s="375"/>
      <c r="N155" s="375"/>
      <c r="O155" s="375"/>
      <c r="P155" s="375"/>
      <c r="Q155" s="375"/>
      <c r="R155" s="375"/>
      <c r="S155" s="375"/>
      <c r="T155" s="375"/>
      <c r="U155" s="375"/>
      <c r="V155" s="375"/>
      <c r="W155" s="375"/>
      <c r="X155" s="375"/>
      <c r="Y155" s="375"/>
      <c r="Z155" s="375"/>
      <c r="AA155" s="375"/>
      <c r="AB155" s="375"/>
      <c r="AC155" s="396"/>
      <c r="AD155" s="360"/>
      <c r="AE155" s="360"/>
      <c r="AF155" s="360"/>
      <c r="AG155" s="360"/>
      <c r="AH155" s="360"/>
      <c r="AI155" s="360"/>
      <c r="AJ155" s="360"/>
      <c r="AK155" s="360"/>
    </row>
    <row r="156" spans="1:37" hidden="1" x14ac:dyDescent="0.25">
      <c r="A156" s="390"/>
      <c r="B156" s="369"/>
      <c r="C156" s="369"/>
      <c r="D156" s="369" t="s">
        <v>691</v>
      </c>
      <c r="E156" s="382"/>
      <c r="F156" s="383"/>
      <c r="G156" s="384">
        <v>13.9</v>
      </c>
      <c r="H156" s="421"/>
      <c r="I156" s="375"/>
      <c r="J156" s="375"/>
      <c r="K156" s="375"/>
      <c r="L156" s="375"/>
      <c r="M156" s="375"/>
      <c r="N156" s="375"/>
      <c r="O156" s="375"/>
      <c r="P156" s="375"/>
      <c r="Q156" s="375"/>
      <c r="R156" s="375"/>
      <c r="S156" s="375"/>
      <c r="T156" s="375"/>
      <c r="U156" s="375"/>
      <c r="V156" s="375"/>
      <c r="W156" s="375"/>
      <c r="X156" s="375"/>
      <c r="Y156" s="375"/>
      <c r="Z156" s="375"/>
      <c r="AA156" s="375"/>
      <c r="AB156" s="375"/>
      <c r="AC156" s="396"/>
      <c r="AD156" s="360"/>
      <c r="AE156" s="360"/>
      <c r="AF156" s="360"/>
      <c r="AG156" s="360"/>
      <c r="AH156" s="360"/>
      <c r="AI156" s="360"/>
      <c r="AJ156" s="360"/>
      <c r="AK156" s="360"/>
    </row>
    <row r="157" spans="1:37" hidden="1" x14ac:dyDescent="0.25">
      <c r="A157" s="390"/>
      <c r="B157" s="369"/>
      <c r="C157" s="369"/>
      <c r="D157" s="369" t="s">
        <v>776</v>
      </c>
      <c r="E157" s="382"/>
      <c r="F157" s="383"/>
      <c r="G157" s="384">
        <v>6.01</v>
      </c>
      <c r="H157" s="421"/>
      <c r="I157" s="375"/>
      <c r="J157" s="375"/>
      <c r="K157" s="375"/>
      <c r="L157" s="375"/>
      <c r="M157" s="375"/>
      <c r="N157" s="375"/>
      <c r="O157" s="375"/>
      <c r="P157" s="375"/>
      <c r="Q157" s="375"/>
      <c r="R157" s="375"/>
      <c r="S157" s="375"/>
      <c r="T157" s="375"/>
      <c r="U157" s="375"/>
      <c r="V157" s="375"/>
      <c r="W157" s="375"/>
      <c r="X157" s="375"/>
      <c r="Y157" s="375"/>
      <c r="Z157" s="375"/>
      <c r="AA157" s="375"/>
      <c r="AB157" s="375"/>
      <c r="AC157" s="396"/>
      <c r="AD157" s="360"/>
      <c r="AE157" s="360"/>
      <c r="AF157" s="360"/>
      <c r="AG157" s="360"/>
      <c r="AH157" s="360"/>
      <c r="AI157" s="360"/>
      <c r="AJ157" s="360"/>
      <c r="AK157" s="360"/>
    </row>
    <row r="158" spans="1:37" s="620" customFormat="1" hidden="1" x14ac:dyDescent="0.25">
      <c r="A158" s="409"/>
      <c r="B158" s="406"/>
      <c r="C158" s="406"/>
      <c r="D158" s="406"/>
      <c r="E158" s="407">
        <v>2015</v>
      </c>
      <c r="F158" s="407">
        <v>2016</v>
      </c>
      <c r="G158" s="407">
        <v>2017</v>
      </c>
      <c r="H158" s="407"/>
      <c r="I158" s="407"/>
      <c r="J158" s="407"/>
      <c r="K158" s="407"/>
      <c r="L158" s="407"/>
      <c r="M158" s="407"/>
      <c r="N158" s="407"/>
      <c r="O158" s="407"/>
      <c r="P158" s="407"/>
      <c r="Q158" s="407"/>
      <c r="R158" s="407"/>
      <c r="S158" s="407"/>
      <c r="T158" s="407"/>
      <c r="U158" s="407"/>
      <c r="V158" s="407"/>
      <c r="W158" s="407"/>
      <c r="X158" s="407"/>
      <c r="Y158" s="407"/>
      <c r="Z158" s="407"/>
      <c r="AA158" s="407"/>
      <c r="AB158" s="407"/>
      <c r="AC158" s="413"/>
    </row>
    <row r="159" spans="1:37" s="620" customFormat="1" x14ac:dyDescent="0.25">
      <c r="A159" s="422" t="s">
        <v>1574</v>
      </c>
      <c r="B159" s="437" t="s">
        <v>1571</v>
      </c>
      <c r="C159" s="437" t="s">
        <v>191</v>
      </c>
      <c r="D159" s="436" t="s">
        <v>904</v>
      </c>
      <c r="E159" s="420">
        <f>38.89/34.82</f>
        <v>1.1168868466398623</v>
      </c>
      <c r="F159" s="420">
        <f>39.66/35.26</f>
        <v>1.1247872943845718</v>
      </c>
      <c r="G159" s="420">
        <f>40.27/35.59</f>
        <v>1.1314976116886766</v>
      </c>
      <c r="H159" s="421">
        <v>2015</v>
      </c>
      <c r="I159" s="421">
        <v>1.1168868466398623</v>
      </c>
      <c r="J159" s="421">
        <v>2015</v>
      </c>
      <c r="K159" s="411">
        <v>1.04756</v>
      </c>
      <c r="L159" s="430">
        <v>1</v>
      </c>
      <c r="M159" s="430"/>
      <c r="N159" s="430">
        <v>0.9</v>
      </c>
      <c r="O159" s="430">
        <v>0.8</v>
      </c>
      <c r="P159" s="430">
        <v>0.7</v>
      </c>
      <c r="Q159" s="430">
        <v>1</v>
      </c>
      <c r="R159" s="430"/>
      <c r="S159" s="430">
        <v>0.93</v>
      </c>
      <c r="T159" s="430">
        <v>0.85</v>
      </c>
      <c r="U159" s="430">
        <v>0.75</v>
      </c>
      <c r="V159" s="430">
        <v>1</v>
      </c>
      <c r="W159" s="430"/>
      <c r="X159" s="430">
        <v>0.96</v>
      </c>
      <c r="Y159" s="430">
        <v>0.9</v>
      </c>
      <c r="Z159" s="430">
        <v>0.8</v>
      </c>
      <c r="AA159" s="421" t="s">
        <v>982</v>
      </c>
      <c r="AB159" s="421" t="s">
        <v>1575</v>
      </c>
      <c r="AC159" s="419" t="s">
        <v>783</v>
      </c>
    </row>
    <row r="160" spans="1:37" s="620" customFormat="1" hidden="1" x14ac:dyDescent="0.25">
      <c r="A160" s="390"/>
      <c r="B160" s="369"/>
      <c r="C160" s="369"/>
      <c r="D160" s="369"/>
      <c r="E160" s="379"/>
      <c r="F160" s="380"/>
      <c r="G160" s="381"/>
      <c r="H160" s="421"/>
      <c r="I160" s="375"/>
      <c r="J160" s="375"/>
      <c r="K160" s="375"/>
      <c r="L160" s="375"/>
      <c r="M160" s="375"/>
      <c r="N160" s="375"/>
      <c r="O160" s="375"/>
      <c r="P160" s="375"/>
      <c r="Q160" s="375"/>
      <c r="R160" s="375"/>
      <c r="S160" s="375"/>
      <c r="T160" s="375"/>
      <c r="U160" s="375"/>
      <c r="V160" s="375"/>
      <c r="W160" s="375"/>
      <c r="X160" s="375"/>
      <c r="Y160" s="375"/>
      <c r="Z160" s="375"/>
      <c r="AA160" s="375"/>
      <c r="AB160" s="375"/>
      <c r="AC160" s="396"/>
    </row>
    <row r="161" spans="1:37" s="620" customFormat="1" hidden="1" x14ac:dyDescent="0.25">
      <c r="A161" s="390"/>
      <c r="B161" s="369"/>
      <c r="C161" s="369"/>
      <c r="D161" s="369"/>
      <c r="E161" s="379"/>
      <c r="F161" s="380"/>
      <c r="G161" s="381"/>
      <c r="H161" s="421"/>
      <c r="I161" s="375"/>
      <c r="J161" s="375"/>
      <c r="K161" s="375"/>
      <c r="L161" s="375"/>
      <c r="M161" s="375"/>
      <c r="N161" s="375"/>
      <c r="O161" s="375"/>
      <c r="P161" s="375"/>
      <c r="Q161" s="375"/>
      <c r="R161" s="375"/>
      <c r="S161" s="375"/>
      <c r="T161" s="375"/>
      <c r="U161" s="375"/>
      <c r="V161" s="375"/>
      <c r="W161" s="375"/>
      <c r="X161" s="375"/>
      <c r="Y161" s="375"/>
      <c r="Z161" s="375"/>
      <c r="AA161" s="375"/>
      <c r="AB161" s="375"/>
      <c r="AC161" s="396"/>
    </row>
    <row r="162" spans="1:37" s="620" customFormat="1" hidden="1" x14ac:dyDescent="0.25">
      <c r="A162" s="390"/>
      <c r="B162" s="369"/>
      <c r="C162" s="369"/>
      <c r="D162" s="369"/>
      <c r="E162" s="379"/>
      <c r="F162" s="380"/>
      <c r="G162" s="381"/>
      <c r="H162" s="421"/>
      <c r="I162" s="375"/>
      <c r="J162" s="375"/>
      <c r="K162" s="375"/>
      <c r="L162" s="375"/>
      <c r="M162" s="375"/>
      <c r="N162" s="375"/>
      <c r="O162" s="375"/>
      <c r="P162" s="375"/>
      <c r="Q162" s="375"/>
      <c r="R162" s="375"/>
      <c r="S162" s="375"/>
      <c r="T162" s="375"/>
      <c r="U162" s="375"/>
      <c r="V162" s="375"/>
      <c r="W162" s="375"/>
      <c r="X162" s="375"/>
      <c r="Y162" s="375"/>
      <c r="Z162" s="375"/>
      <c r="AA162" s="375"/>
      <c r="AB162" s="375"/>
      <c r="AC162" s="396"/>
    </row>
    <row r="163" spans="1:37" s="620" customFormat="1" hidden="1" x14ac:dyDescent="0.25">
      <c r="A163" s="390"/>
      <c r="B163" s="369"/>
      <c r="C163" s="369"/>
      <c r="D163" s="369"/>
      <c r="E163" s="379"/>
      <c r="F163" s="380"/>
      <c r="G163" s="381"/>
      <c r="H163" s="421"/>
      <c r="I163" s="375"/>
      <c r="J163" s="375"/>
      <c r="K163" s="375"/>
      <c r="L163" s="375"/>
      <c r="M163" s="375"/>
      <c r="N163" s="375"/>
      <c r="O163" s="375"/>
      <c r="P163" s="375"/>
      <c r="Q163" s="375"/>
      <c r="R163" s="375"/>
      <c r="S163" s="375"/>
      <c r="T163" s="375"/>
      <c r="U163" s="375"/>
      <c r="V163" s="375"/>
      <c r="W163" s="375"/>
      <c r="X163" s="375"/>
      <c r="Y163" s="375"/>
      <c r="Z163" s="375"/>
      <c r="AA163" s="375"/>
      <c r="AB163" s="375"/>
      <c r="AC163" s="396"/>
    </row>
    <row r="164" spans="1:37" s="620" customFormat="1" hidden="1" x14ac:dyDescent="0.25">
      <c r="A164" s="390"/>
      <c r="B164" s="369"/>
      <c r="C164" s="369"/>
      <c r="D164" s="369"/>
      <c r="E164" s="379"/>
      <c r="F164" s="380"/>
      <c r="G164" s="381"/>
      <c r="H164" s="421"/>
      <c r="I164" s="375"/>
      <c r="J164" s="375"/>
      <c r="K164" s="375"/>
      <c r="L164" s="375"/>
      <c r="M164" s="375"/>
      <c r="N164" s="375"/>
      <c r="O164" s="375"/>
      <c r="P164" s="375"/>
      <c r="Q164" s="375"/>
      <c r="R164" s="375"/>
      <c r="S164" s="375"/>
      <c r="T164" s="375"/>
      <c r="U164" s="375"/>
      <c r="V164" s="375"/>
      <c r="W164" s="375"/>
      <c r="X164" s="375"/>
      <c r="Y164" s="375"/>
      <c r="Z164" s="375"/>
      <c r="AA164" s="375"/>
      <c r="AB164" s="375"/>
      <c r="AC164" s="396"/>
    </row>
    <row r="165" spans="1:37" s="620" customFormat="1" hidden="1" x14ac:dyDescent="0.25">
      <c r="A165" s="390"/>
      <c r="B165" s="369"/>
      <c r="C165" s="369"/>
      <c r="D165" s="369"/>
      <c r="E165" s="382"/>
      <c r="F165" s="383"/>
      <c r="G165" s="384"/>
      <c r="H165" s="421"/>
      <c r="I165" s="375"/>
      <c r="J165" s="375"/>
      <c r="K165" s="375"/>
      <c r="L165" s="375"/>
      <c r="M165" s="375"/>
      <c r="N165" s="375"/>
      <c r="O165" s="375"/>
      <c r="P165" s="375"/>
      <c r="Q165" s="375"/>
      <c r="R165" s="375"/>
      <c r="S165" s="375"/>
      <c r="T165" s="375"/>
      <c r="U165" s="375"/>
      <c r="V165" s="375"/>
      <c r="W165" s="375"/>
      <c r="X165" s="375"/>
      <c r="Y165" s="375"/>
      <c r="Z165" s="375"/>
      <c r="AA165" s="375"/>
      <c r="AB165" s="375"/>
      <c r="AC165" s="396"/>
    </row>
    <row r="166" spans="1:37" s="620" customFormat="1" hidden="1" x14ac:dyDescent="0.25">
      <c r="A166" s="390"/>
      <c r="B166" s="369"/>
      <c r="C166" s="369"/>
      <c r="D166" s="369"/>
      <c r="E166" s="382"/>
      <c r="F166" s="383"/>
      <c r="G166" s="384"/>
      <c r="H166" s="421"/>
      <c r="I166" s="375"/>
      <c r="J166" s="375"/>
      <c r="K166" s="375"/>
      <c r="L166" s="375"/>
      <c r="M166" s="375"/>
      <c r="N166" s="375"/>
      <c r="O166" s="375"/>
      <c r="P166" s="375"/>
      <c r="Q166" s="375"/>
      <c r="R166" s="375"/>
      <c r="S166" s="375"/>
      <c r="T166" s="375"/>
      <c r="U166" s="375"/>
      <c r="V166" s="375"/>
      <c r="W166" s="375"/>
      <c r="X166" s="375"/>
      <c r="Y166" s="375"/>
      <c r="Z166" s="375"/>
      <c r="AA166" s="375"/>
      <c r="AB166" s="375"/>
      <c r="AC166" s="396"/>
    </row>
    <row r="167" spans="1:37" s="620" customFormat="1" hidden="1" x14ac:dyDescent="0.25">
      <c r="A167" s="390"/>
      <c r="B167" s="369"/>
      <c r="C167" s="369"/>
      <c r="D167" s="369"/>
      <c r="E167" s="382"/>
      <c r="F167" s="383"/>
      <c r="G167" s="384"/>
      <c r="H167" s="421"/>
      <c r="I167" s="375"/>
      <c r="J167" s="375"/>
      <c r="K167" s="375"/>
      <c r="L167" s="375"/>
      <c r="M167" s="375"/>
      <c r="N167" s="375"/>
      <c r="O167" s="375"/>
      <c r="P167" s="375"/>
      <c r="Q167" s="375"/>
      <c r="R167" s="375"/>
      <c r="S167" s="375"/>
      <c r="T167" s="375"/>
      <c r="U167" s="375"/>
      <c r="V167" s="375"/>
      <c r="W167" s="375"/>
      <c r="X167" s="375"/>
      <c r="Y167" s="375"/>
      <c r="Z167" s="375"/>
      <c r="AA167" s="375"/>
      <c r="AB167" s="375"/>
      <c r="AC167" s="396"/>
    </row>
    <row r="168" spans="1:37" s="620" customFormat="1" hidden="1" x14ac:dyDescent="0.25">
      <c r="A168" s="390"/>
      <c r="B168" s="369"/>
      <c r="C168" s="369"/>
      <c r="D168" s="369"/>
      <c r="E168" s="382"/>
      <c r="F168" s="383"/>
      <c r="G168" s="384"/>
      <c r="H168" s="421"/>
      <c r="I168" s="375"/>
      <c r="J168" s="375"/>
      <c r="K168" s="375"/>
      <c r="L168" s="375"/>
      <c r="M168" s="375"/>
      <c r="N168" s="375"/>
      <c r="O168" s="375"/>
      <c r="P168" s="375"/>
      <c r="Q168" s="375"/>
      <c r="R168" s="375"/>
      <c r="S168" s="375"/>
      <c r="T168" s="375"/>
      <c r="U168" s="375"/>
      <c r="V168" s="375"/>
      <c r="W168" s="375"/>
      <c r="X168" s="375"/>
      <c r="Y168" s="375"/>
      <c r="Z168" s="375"/>
      <c r="AA168" s="375"/>
      <c r="AB168" s="375"/>
      <c r="AC168" s="396"/>
    </row>
    <row r="169" spans="1:37" s="620" customFormat="1" hidden="1" x14ac:dyDescent="0.25">
      <c r="A169" s="390"/>
      <c r="B169" s="369"/>
      <c r="C169" s="369"/>
      <c r="D169" s="369"/>
      <c r="E169" s="382"/>
      <c r="F169" s="383"/>
      <c r="G169" s="384"/>
      <c r="H169" s="421"/>
      <c r="I169" s="375"/>
      <c r="J169" s="375"/>
      <c r="K169" s="375"/>
      <c r="L169" s="375"/>
      <c r="M169" s="375"/>
      <c r="N169" s="375"/>
      <c r="O169" s="375"/>
      <c r="P169" s="375"/>
      <c r="Q169" s="375"/>
      <c r="R169" s="375"/>
      <c r="S169" s="375"/>
      <c r="T169" s="375"/>
      <c r="U169" s="375"/>
      <c r="V169" s="375"/>
      <c r="W169" s="375"/>
      <c r="X169" s="375"/>
      <c r="Y169" s="375"/>
      <c r="Z169" s="375"/>
      <c r="AA169" s="375"/>
      <c r="AB169" s="375"/>
      <c r="AC169" s="396"/>
    </row>
    <row r="170" spans="1:37" s="386" customFormat="1" hidden="1" x14ac:dyDescent="0.25">
      <c r="A170" s="409"/>
      <c r="B170" s="406"/>
      <c r="C170" s="406"/>
      <c r="D170" s="406"/>
      <c r="E170" s="407">
        <v>2017</v>
      </c>
      <c r="F170" s="407">
        <v>2018</v>
      </c>
      <c r="G170" s="407">
        <v>2019</v>
      </c>
      <c r="H170" s="407"/>
      <c r="I170" s="407"/>
      <c r="J170" s="407"/>
      <c r="K170" s="407"/>
      <c r="L170" s="407"/>
      <c r="M170" s="407"/>
      <c r="N170" s="407"/>
      <c r="O170" s="407"/>
      <c r="P170" s="407"/>
      <c r="Q170" s="407"/>
      <c r="R170" s="407"/>
      <c r="S170" s="407"/>
      <c r="T170" s="407"/>
      <c r="U170" s="407"/>
      <c r="V170" s="407"/>
      <c r="W170" s="407"/>
      <c r="X170" s="407"/>
      <c r="Y170" s="407"/>
      <c r="Z170" s="407"/>
      <c r="AA170" s="407"/>
      <c r="AB170" s="407"/>
      <c r="AC170" s="413"/>
    </row>
    <row r="171" spans="1:37" x14ac:dyDescent="0.25">
      <c r="A171" s="422" t="s">
        <v>735</v>
      </c>
      <c r="B171" s="437" t="s">
        <v>1080</v>
      </c>
      <c r="C171" s="437" t="s">
        <v>473</v>
      </c>
      <c r="D171" s="436" t="s">
        <v>904</v>
      </c>
      <c r="E171" s="420">
        <f>((490.2)/(4607+3141.9+3718.4+490.2))*100</f>
        <v>4.099519130252979</v>
      </c>
      <c r="F171" s="420">
        <f>(561.3/(4662.1+3309.4+3772.1+561.3))*100</f>
        <v>4.561597412412941</v>
      </c>
      <c r="G171" s="420">
        <f>(28.98/(193.03+141.45+157.86+28.98))*100</f>
        <v>5.5589657024476322</v>
      </c>
      <c r="H171" s="421">
        <v>2017</v>
      </c>
      <c r="I171" s="421">
        <v>4.099519130252979</v>
      </c>
      <c r="J171" s="421">
        <v>2015</v>
      </c>
      <c r="K171" s="411">
        <v>7.0504899999999999</v>
      </c>
      <c r="L171" s="421">
        <v>17</v>
      </c>
      <c r="M171" s="421"/>
      <c r="N171" s="421">
        <f>(L171-K171)*0.5+K171</f>
        <v>12.025245</v>
      </c>
      <c r="O171" s="421">
        <f>(Table14[[#This Row],[Ambitious target 2030]]-Table14[[#This Row],[Model reference value]])*0.25+Table14[[#This Row],[Model reference value]]</f>
        <v>9.5378675000000008</v>
      </c>
      <c r="P171" s="421">
        <f>K171</f>
        <v>7.0504899999999999</v>
      </c>
      <c r="Q171" s="421">
        <f>Table14[[#This Row],[Ambitious target 2030]]*3</f>
        <v>51</v>
      </c>
      <c r="R171" s="421"/>
      <c r="S171" s="421">
        <f>(Table14[[#This Row],[Ambitious target 2050]]-Table14[[#This Row],[Model reference value]])*0.5+Table14[[#This Row],[Model reference value]]</f>
        <v>29.025245000000002</v>
      </c>
      <c r="T171" s="421">
        <f>(Table14[[#This Row],[Ambitious target 2050]]-Table14[[#This Row],[Model reference value]])*0.25+Table14[[#This Row],[Model reference value]]</f>
        <v>18.037867500000001</v>
      </c>
      <c r="U171" s="421">
        <f>Table14[[#This Row],[Worst value 2030]]</f>
        <v>7.0504899999999999</v>
      </c>
      <c r="V171" s="421">
        <f>Table14[[#This Row],[Ambitious target 2030]]*5</f>
        <v>85</v>
      </c>
      <c r="W171" s="421"/>
      <c r="X171" s="421">
        <f>(Table14[[#This Row],[Ambitious target 2100]]-Table14[[#This Row],[Model reference value]])*0.5+Table14[[#This Row],[Model reference value]]</f>
        <v>46.025244999999998</v>
      </c>
      <c r="Y171" s="421">
        <f>(Table14[[#This Row],[Ambitious target 2100]]-Table14[[#This Row],[Model reference value]])*0.25+Table14[[#This Row],[Model reference value]]</f>
        <v>26.537867500000001</v>
      </c>
      <c r="Z171" s="421">
        <f>Table14[[#This Row],[Worst value 2030]]</f>
        <v>7.0504899999999999</v>
      </c>
      <c r="AA171" s="421" t="s">
        <v>985</v>
      </c>
      <c r="AB171" s="421" t="s">
        <v>1175</v>
      </c>
      <c r="AC171" s="419" t="s">
        <v>688</v>
      </c>
      <c r="AD171" s="377" t="s">
        <v>738</v>
      </c>
      <c r="AE171" s="360" t="s">
        <v>1082</v>
      </c>
      <c r="AF171" s="360"/>
      <c r="AG171" s="360"/>
      <c r="AH171" s="360"/>
      <c r="AI171" s="360"/>
      <c r="AJ171" s="360"/>
      <c r="AK171" s="360"/>
    </row>
    <row r="172" spans="1:37" hidden="1" x14ac:dyDescent="0.25">
      <c r="A172" s="390"/>
      <c r="B172" s="369"/>
      <c r="C172" s="369"/>
      <c r="D172" s="369"/>
      <c r="E172" s="379"/>
      <c r="F172" s="380"/>
      <c r="G172" s="381"/>
      <c r="H172" s="421"/>
      <c r="I172" s="375"/>
      <c r="J172" s="375"/>
      <c r="K172" s="375"/>
      <c r="L172" s="375"/>
      <c r="M172" s="375"/>
      <c r="N172" s="375"/>
      <c r="O172" s="375"/>
      <c r="P172" s="375"/>
      <c r="Q172" s="375"/>
      <c r="R172" s="375"/>
      <c r="S172" s="375"/>
      <c r="T172" s="375"/>
      <c r="U172" s="375"/>
      <c r="V172" s="375"/>
      <c r="W172" s="375"/>
      <c r="X172" s="375"/>
      <c r="Y172" s="375"/>
      <c r="Z172" s="375"/>
      <c r="AA172" s="375"/>
      <c r="AB172" s="375"/>
      <c r="AC172" s="401"/>
      <c r="AD172" s="360"/>
      <c r="AE172" s="360"/>
      <c r="AF172" s="360"/>
      <c r="AG172" s="360"/>
      <c r="AH172" s="360"/>
      <c r="AI172" s="360"/>
      <c r="AJ172" s="360"/>
      <c r="AK172" s="360"/>
    </row>
    <row r="173" spans="1:37" hidden="1" x14ac:dyDescent="0.25">
      <c r="A173" s="390"/>
      <c r="B173" s="369"/>
      <c r="C173" s="369"/>
      <c r="D173" s="369"/>
      <c r="E173" s="379"/>
      <c r="F173" s="380"/>
      <c r="G173" s="381"/>
      <c r="H173" s="421"/>
      <c r="I173" s="375"/>
      <c r="J173" s="375"/>
      <c r="K173" s="375"/>
      <c r="L173" s="375"/>
      <c r="M173" s="375"/>
      <c r="N173" s="375"/>
      <c r="O173" s="375"/>
      <c r="P173" s="375"/>
      <c r="Q173" s="375"/>
      <c r="R173" s="375"/>
      <c r="S173" s="375"/>
      <c r="T173" s="375"/>
      <c r="U173" s="375"/>
      <c r="V173" s="375"/>
      <c r="W173" s="375"/>
      <c r="X173" s="375"/>
      <c r="Y173" s="375"/>
      <c r="Z173" s="375"/>
      <c r="AA173" s="375"/>
      <c r="AB173" s="375"/>
      <c r="AC173" s="396"/>
      <c r="AD173" s="360"/>
      <c r="AE173" s="360"/>
      <c r="AF173" s="360"/>
      <c r="AG173" s="360"/>
      <c r="AH173" s="360"/>
      <c r="AI173" s="360"/>
      <c r="AJ173" s="360"/>
      <c r="AK173" s="360"/>
    </row>
    <row r="174" spans="1:37" hidden="1" x14ac:dyDescent="0.25">
      <c r="A174" s="390"/>
      <c r="B174" s="369"/>
      <c r="C174" s="369"/>
      <c r="D174" s="369"/>
      <c r="E174" s="379"/>
      <c r="F174" s="380"/>
      <c r="G174" s="381"/>
      <c r="H174" s="421"/>
      <c r="I174" s="375"/>
      <c r="J174" s="375"/>
      <c r="K174" s="375"/>
      <c r="L174" s="375"/>
      <c r="M174" s="375"/>
      <c r="N174" s="375"/>
      <c r="O174" s="375"/>
      <c r="P174" s="375"/>
      <c r="Q174" s="375"/>
      <c r="R174" s="375"/>
      <c r="S174" s="375"/>
      <c r="T174" s="375"/>
      <c r="U174" s="375"/>
      <c r="V174" s="375"/>
      <c r="W174" s="375"/>
      <c r="X174" s="375"/>
      <c r="Y174" s="375"/>
      <c r="Z174" s="375"/>
      <c r="AA174" s="375"/>
      <c r="AB174" s="375"/>
      <c r="AC174" s="396"/>
      <c r="AD174" s="360"/>
      <c r="AE174" s="360"/>
      <c r="AF174" s="360"/>
      <c r="AG174" s="360"/>
      <c r="AH174" s="360"/>
      <c r="AI174" s="360"/>
      <c r="AJ174" s="360"/>
      <c r="AK174" s="360"/>
    </row>
    <row r="175" spans="1:37" hidden="1" x14ac:dyDescent="0.25">
      <c r="A175" s="390"/>
      <c r="B175" s="369"/>
      <c r="C175" s="369"/>
      <c r="D175" s="369"/>
      <c r="E175" s="379"/>
      <c r="F175" s="380"/>
      <c r="G175" s="381"/>
      <c r="H175" s="421"/>
      <c r="I175" s="375"/>
      <c r="J175" s="375"/>
      <c r="K175" s="375"/>
      <c r="L175" s="375"/>
      <c r="M175" s="375"/>
      <c r="N175" s="375"/>
      <c r="O175" s="375"/>
      <c r="P175" s="375"/>
      <c r="Q175" s="375"/>
      <c r="R175" s="375"/>
      <c r="S175" s="375"/>
      <c r="T175" s="375"/>
      <c r="U175" s="375"/>
      <c r="V175" s="375"/>
      <c r="W175" s="375"/>
      <c r="X175" s="375"/>
      <c r="Y175" s="375"/>
      <c r="Z175" s="375"/>
      <c r="AA175" s="375"/>
      <c r="AB175" s="375"/>
      <c r="AC175" s="396"/>
      <c r="AD175" s="360"/>
      <c r="AE175" s="360"/>
      <c r="AF175" s="360"/>
      <c r="AG175" s="360"/>
      <c r="AH175" s="360"/>
      <c r="AI175" s="360"/>
      <c r="AJ175" s="360"/>
      <c r="AK175" s="360"/>
    </row>
    <row r="176" spans="1:37" hidden="1" x14ac:dyDescent="0.25">
      <c r="A176" s="390"/>
      <c r="B176" s="369"/>
      <c r="C176" s="369"/>
      <c r="D176" s="369"/>
      <c r="E176" s="379"/>
      <c r="F176" s="380"/>
      <c r="G176" s="381"/>
      <c r="H176" s="421"/>
      <c r="I176" s="375"/>
      <c r="J176" s="375"/>
      <c r="K176" s="375"/>
      <c r="L176" s="375"/>
      <c r="M176" s="375"/>
      <c r="N176" s="375"/>
      <c r="O176" s="375"/>
      <c r="P176" s="375"/>
      <c r="Q176" s="375"/>
      <c r="R176" s="375"/>
      <c r="S176" s="375"/>
      <c r="T176" s="375"/>
      <c r="U176" s="375"/>
      <c r="V176" s="375"/>
      <c r="W176" s="375"/>
      <c r="X176" s="375"/>
      <c r="Y176" s="375"/>
      <c r="Z176" s="375"/>
      <c r="AA176" s="375"/>
      <c r="AB176" s="375"/>
      <c r="AC176" s="396"/>
      <c r="AD176" s="360"/>
      <c r="AE176" s="360"/>
      <c r="AF176" s="360"/>
      <c r="AG176" s="360"/>
      <c r="AH176" s="360"/>
      <c r="AI176" s="360"/>
      <c r="AJ176" s="360"/>
      <c r="AK176" s="360"/>
    </row>
    <row r="177" spans="1:37" hidden="1" x14ac:dyDescent="0.25">
      <c r="A177" s="390"/>
      <c r="B177" s="369"/>
      <c r="C177" s="369"/>
      <c r="D177" s="369"/>
      <c r="E177" s="382"/>
      <c r="F177" s="383"/>
      <c r="G177" s="384"/>
      <c r="H177" s="421"/>
      <c r="I177" s="375"/>
      <c r="J177" s="375"/>
      <c r="K177" s="375"/>
      <c r="L177" s="375"/>
      <c r="M177" s="375"/>
      <c r="N177" s="375"/>
      <c r="O177" s="375"/>
      <c r="P177" s="375"/>
      <c r="Q177" s="375"/>
      <c r="R177" s="375"/>
      <c r="S177" s="375"/>
      <c r="T177" s="375"/>
      <c r="U177" s="375"/>
      <c r="V177" s="375"/>
      <c r="W177" s="375"/>
      <c r="X177" s="375"/>
      <c r="Y177" s="375"/>
      <c r="Z177" s="375"/>
      <c r="AA177" s="375"/>
      <c r="AB177" s="375"/>
      <c r="AC177" s="396"/>
      <c r="AD177" s="360"/>
      <c r="AE177" s="360"/>
      <c r="AF177" s="360"/>
      <c r="AG177" s="360"/>
      <c r="AH177" s="360"/>
      <c r="AI177" s="360"/>
      <c r="AJ177" s="360"/>
      <c r="AK177" s="360"/>
    </row>
    <row r="178" spans="1:37" hidden="1" x14ac:dyDescent="0.25">
      <c r="A178" s="390"/>
      <c r="B178" s="369"/>
      <c r="C178" s="369"/>
      <c r="D178" s="369"/>
      <c r="E178" s="382"/>
      <c r="F178" s="383"/>
      <c r="G178" s="384"/>
      <c r="H178" s="421"/>
      <c r="I178" s="375"/>
      <c r="J178" s="375"/>
      <c r="K178" s="375"/>
      <c r="L178" s="375"/>
      <c r="M178" s="375"/>
      <c r="N178" s="375"/>
      <c r="O178" s="375"/>
      <c r="P178" s="375"/>
      <c r="Q178" s="375"/>
      <c r="R178" s="375"/>
      <c r="S178" s="375"/>
      <c r="T178" s="375"/>
      <c r="U178" s="375"/>
      <c r="V178" s="375"/>
      <c r="W178" s="375"/>
      <c r="X178" s="375"/>
      <c r="Y178" s="375"/>
      <c r="Z178" s="375"/>
      <c r="AA178" s="375"/>
      <c r="AB178" s="375"/>
      <c r="AC178" s="396"/>
      <c r="AD178" s="360"/>
      <c r="AE178" s="360"/>
      <c r="AF178" s="360"/>
      <c r="AG178" s="360"/>
      <c r="AH178" s="360"/>
      <c r="AI178" s="360"/>
      <c r="AJ178" s="360"/>
      <c r="AK178" s="360"/>
    </row>
    <row r="179" spans="1:37" hidden="1" x14ac:dyDescent="0.25">
      <c r="A179" s="390"/>
      <c r="B179" s="369"/>
      <c r="C179" s="369"/>
      <c r="D179" s="369"/>
      <c r="E179" s="382"/>
      <c r="F179" s="383"/>
      <c r="G179" s="384"/>
      <c r="H179" s="421"/>
      <c r="I179" s="375"/>
      <c r="J179" s="375"/>
      <c r="K179" s="375"/>
      <c r="L179" s="375"/>
      <c r="M179" s="375"/>
      <c r="N179" s="375"/>
      <c r="O179" s="375"/>
      <c r="P179" s="375"/>
      <c r="Q179" s="375"/>
      <c r="R179" s="375"/>
      <c r="S179" s="375"/>
      <c r="T179" s="375"/>
      <c r="U179" s="375"/>
      <c r="V179" s="375"/>
      <c r="W179" s="375"/>
      <c r="X179" s="375"/>
      <c r="Y179" s="375"/>
      <c r="Z179" s="375"/>
      <c r="AA179" s="375"/>
      <c r="AB179" s="375"/>
      <c r="AC179" s="396"/>
      <c r="AD179" s="360"/>
      <c r="AE179" s="360"/>
      <c r="AF179" s="360"/>
      <c r="AG179" s="360"/>
      <c r="AH179" s="360"/>
      <c r="AI179" s="360"/>
      <c r="AJ179" s="360"/>
      <c r="AK179" s="360"/>
    </row>
    <row r="180" spans="1:37" hidden="1" x14ac:dyDescent="0.25">
      <c r="A180" s="390"/>
      <c r="B180" s="369"/>
      <c r="C180" s="369"/>
      <c r="D180" s="369"/>
      <c r="E180" s="382"/>
      <c r="F180" s="383"/>
      <c r="G180" s="384"/>
      <c r="H180" s="421"/>
      <c r="I180" s="375"/>
      <c r="J180" s="375"/>
      <c r="K180" s="375"/>
      <c r="L180" s="375"/>
      <c r="M180" s="375"/>
      <c r="N180" s="375"/>
      <c r="O180" s="375"/>
      <c r="P180" s="375"/>
      <c r="Q180" s="375"/>
      <c r="R180" s="375"/>
      <c r="S180" s="375"/>
      <c r="T180" s="375"/>
      <c r="U180" s="375"/>
      <c r="V180" s="375"/>
      <c r="W180" s="375"/>
      <c r="X180" s="375"/>
      <c r="Y180" s="375"/>
      <c r="Z180" s="375"/>
      <c r="AA180" s="375"/>
      <c r="AB180" s="375"/>
      <c r="AC180" s="396"/>
      <c r="AD180" s="360"/>
      <c r="AE180" s="360"/>
      <c r="AF180" s="360"/>
      <c r="AG180" s="360"/>
      <c r="AH180" s="360"/>
      <c r="AI180" s="360"/>
      <c r="AJ180" s="360"/>
      <c r="AK180" s="360"/>
    </row>
    <row r="181" spans="1:37" hidden="1" x14ac:dyDescent="0.25">
      <c r="A181" s="390"/>
      <c r="B181" s="369"/>
      <c r="C181" s="369"/>
      <c r="D181" s="369"/>
      <c r="E181" s="382"/>
      <c r="F181" s="383"/>
      <c r="G181" s="384"/>
      <c r="H181" s="421"/>
      <c r="I181" s="375"/>
      <c r="J181" s="375"/>
      <c r="K181" s="375"/>
      <c r="L181" s="375"/>
      <c r="M181" s="375"/>
      <c r="N181" s="375"/>
      <c r="O181" s="375"/>
      <c r="P181" s="375"/>
      <c r="Q181" s="375"/>
      <c r="R181" s="375"/>
      <c r="S181" s="375"/>
      <c r="T181" s="375"/>
      <c r="U181" s="375"/>
      <c r="V181" s="375"/>
      <c r="W181" s="375"/>
      <c r="X181" s="375"/>
      <c r="Y181" s="375"/>
      <c r="Z181" s="375"/>
      <c r="AA181" s="375"/>
      <c r="AB181" s="375"/>
      <c r="AC181" s="396"/>
      <c r="AD181" s="360"/>
      <c r="AE181" s="360"/>
      <c r="AF181" s="360"/>
      <c r="AG181" s="360"/>
      <c r="AH181" s="360"/>
      <c r="AI181" s="360"/>
      <c r="AJ181" s="360"/>
      <c r="AK181" s="360"/>
    </row>
    <row r="182" spans="1:37" s="386" customFormat="1" hidden="1" x14ac:dyDescent="0.25">
      <c r="A182" s="409"/>
      <c r="B182" s="406"/>
      <c r="C182" s="406"/>
      <c r="D182" s="406"/>
      <c r="E182" s="407">
        <v>2017</v>
      </c>
      <c r="F182" s="407">
        <v>2018</v>
      </c>
      <c r="G182" s="407">
        <v>2019</v>
      </c>
      <c r="H182" s="407"/>
      <c r="I182" s="407"/>
      <c r="J182" s="407"/>
      <c r="K182" s="407"/>
      <c r="L182" s="407"/>
      <c r="M182" s="407"/>
      <c r="N182" s="407"/>
      <c r="O182" s="407"/>
      <c r="P182" s="407"/>
      <c r="Q182" s="407"/>
      <c r="R182" s="407"/>
      <c r="S182" s="407"/>
      <c r="T182" s="407"/>
      <c r="U182" s="407"/>
      <c r="V182" s="407"/>
      <c r="W182" s="407"/>
      <c r="X182" s="407"/>
      <c r="Y182" s="407"/>
      <c r="Z182" s="407"/>
      <c r="AA182" s="407"/>
      <c r="AB182" s="407"/>
      <c r="AC182" s="416"/>
    </row>
    <row r="183" spans="1:37" x14ac:dyDescent="0.25">
      <c r="A183" s="418" t="s">
        <v>736</v>
      </c>
      <c r="B183" s="437" t="s">
        <v>1078</v>
      </c>
      <c r="C183" s="437" t="s">
        <v>473</v>
      </c>
      <c r="D183" s="436" t="s">
        <v>904</v>
      </c>
      <c r="E183" s="420">
        <f>((4607+3141.9+3718.4)/(4607+3141.9+3718.4+490.2))*100</f>
        <v>95.900480869747014</v>
      </c>
      <c r="F183" s="420">
        <f>((4662.1+3309.4+3772.1)/(4662.1+3309.4+3772.1+561.3))*100</f>
        <v>95.438402587587063</v>
      </c>
      <c r="G183" s="420">
        <f>((193.03+141.45+157.86)/(193.03+141.45+157.86+28.98))*100</f>
        <v>94.441034297552363</v>
      </c>
      <c r="H183" s="421">
        <v>2014</v>
      </c>
      <c r="I183" s="421">
        <v>95.900480869747014</v>
      </c>
      <c r="J183" s="421">
        <v>2015</v>
      </c>
      <c r="K183" s="411">
        <v>83.576099999999997</v>
      </c>
      <c r="L183" s="421">
        <v>76</v>
      </c>
      <c r="M183" s="421"/>
      <c r="N183" s="421">
        <f>(L183-K183)*0.5+K183</f>
        <v>79.788049999999998</v>
      </c>
      <c r="O183" s="421">
        <f>(Table14[[#This Row],[Ambitious target 2030]]-Table14[[#This Row],[Model reference value]])*0.25+Table14[[#This Row],[Model reference value]]</f>
        <v>81.682074999999998</v>
      </c>
      <c r="P183" s="421">
        <f>K183</f>
        <v>83.576099999999997</v>
      </c>
      <c r="Q183" s="421">
        <f>100-Q171</f>
        <v>49</v>
      </c>
      <c r="R183" s="421"/>
      <c r="S183" s="421">
        <f>(Table14[[#This Row],[Ambitious target 2050]]-Table14[[#This Row],[Model reference value]])*0.5+Table14[[#This Row],[Model reference value]]</f>
        <v>66.288049999999998</v>
      </c>
      <c r="T183" s="421">
        <f>(Table14[[#This Row],[Ambitious target 2050]]-Table14[[#This Row],[Model reference value]])*0.25+Table14[[#This Row],[Model reference value]]</f>
        <v>74.932074999999998</v>
      </c>
      <c r="U183" s="421">
        <f>Table14[[#This Row],[Worst value 2030]]</f>
        <v>83.576099999999997</v>
      </c>
      <c r="V183" s="421">
        <f>100-V171</f>
        <v>15</v>
      </c>
      <c r="W183" s="421"/>
      <c r="X183" s="421">
        <f>(Table14[[#This Row],[Ambitious target 2100]]-Table14[[#This Row],[Model reference value]])*0.5+Table14[[#This Row],[Model reference value]]</f>
        <v>49.288049999999998</v>
      </c>
      <c r="Y183" s="421">
        <f>(Table14[[#This Row],[Ambitious target 2100]]-Table14[[#This Row],[Model reference value]])*0.25+Table14[[#This Row],[Model reference value]]</f>
        <v>66.432074999999998</v>
      </c>
      <c r="Z183" s="421">
        <f>Table14[[#This Row],[Worst value 2030]]</f>
        <v>83.576099999999997</v>
      </c>
      <c r="AA183" s="421" t="s">
        <v>985</v>
      </c>
      <c r="AB183" s="421" t="s">
        <v>1176</v>
      </c>
      <c r="AC183" s="360" t="s">
        <v>1082</v>
      </c>
      <c r="AD183" s="426" t="s">
        <v>739</v>
      </c>
      <c r="AE183" s="360"/>
      <c r="AF183" s="360"/>
      <c r="AG183" s="360"/>
      <c r="AH183" s="360"/>
      <c r="AI183" s="360"/>
      <c r="AJ183" s="360"/>
      <c r="AK183" s="360"/>
    </row>
    <row r="184" spans="1:37" hidden="1" x14ac:dyDescent="0.25">
      <c r="A184" s="390"/>
      <c r="B184" s="369"/>
      <c r="C184" s="369"/>
      <c r="D184" s="369"/>
      <c r="E184" s="379"/>
      <c r="F184" s="380"/>
      <c r="G184" s="381"/>
      <c r="H184" s="421"/>
      <c r="I184" s="375"/>
      <c r="J184" s="375"/>
      <c r="K184" s="375"/>
      <c r="L184" s="375"/>
      <c r="M184" s="375"/>
      <c r="N184" s="375"/>
      <c r="O184" s="375"/>
      <c r="P184" s="375"/>
      <c r="Q184" s="375"/>
      <c r="R184" s="375"/>
      <c r="S184" s="375"/>
      <c r="T184" s="375"/>
      <c r="U184" s="375"/>
      <c r="V184" s="375"/>
      <c r="W184" s="375"/>
      <c r="X184" s="375"/>
      <c r="Y184" s="375"/>
      <c r="Z184" s="375"/>
      <c r="AA184" s="375"/>
      <c r="AB184" s="375"/>
      <c r="AC184" s="396"/>
      <c r="AD184" s="360"/>
      <c r="AE184" s="360"/>
      <c r="AF184" s="360"/>
      <c r="AG184" s="360"/>
      <c r="AH184" s="360"/>
      <c r="AI184" s="360"/>
      <c r="AJ184" s="360"/>
      <c r="AK184" s="360"/>
    </row>
    <row r="185" spans="1:37" hidden="1" x14ac:dyDescent="0.25">
      <c r="A185" s="390"/>
      <c r="B185" s="369"/>
      <c r="C185" s="369"/>
      <c r="D185" s="369"/>
      <c r="E185" s="379"/>
      <c r="F185" s="380"/>
      <c r="G185" s="381"/>
      <c r="H185" s="421"/>
      <c r="I185" s="375"/>
      <c r="J185" s="375"/>
      <c r="K185" s="375"/>
      <c r="L185" s="375"/>
      <c r="M185" s="375"/>
      <c r="N185" s="375"/>
      <c r="O185" s="375"/>
      <c r="P185" s="375"/>
      <c r="Q185" s="375"/>
      <c r="R185" s="375"/>
      <c r="S185" s="375"/>
      <c r="T185" s="375"/>
      <c r="U185" s="375"/>
      <c r="V185" s="375"/>
      <c r="W185" s="375"/>
      <c r="X185" s="375"/>
      <c r="Y185" s="375"/>
      <c r="Z185" s="375"/>
      <c r="AA185" s="375"/>
      <c r="AB185" s="375"/>
      <c r="AC185" s="396"/>
      <c r="AD185" s="360"/>
      <c r="AE185" s="360"/>
      <c r="AF185" s="360"/>
      <c r="AG185" s="360"/>
      <c r="AH185" s="360"/>
      <c r="AI185" s="360"/>
      <c r="AJ185" s="360"/>
      <c r="AK185" s="360"/>
    </row>
    <row r="186" spans="1:37" hidden="1" x14ac:dyDescent="0.25">
      <c r="A186" s="390"/>
      <c r="B186" s="369"/>
      <c r="C186" s="369"/>
      <c r="D186" s="369"/>
      <c r="E186" s="379"/>
      <c r="F186" s="380"/>
      <c r="G186" s="381"/>
      <c r="H186" s="421"/>
      <c r="I186" s="375"/>
      <c r="J186" s="375"/>
      <c r="K186" s="375"/>
      <c r="L186" s="375"/>
      <c r="M186" s="375"/>
      <c r="N186" s="375"/>
      <c r="O186" s="375"/>
      <c r="P186" s="375"/>
      <c r="Q186" s="375"/>
      <c r="R186" s="375"/>
      <c r="S186" s="375"/>
      <c r="T186" s="375"/>
      <c r="U186" s="375"/>
      <c r="V186" s="375"/>
      <c r="W186" s="375"/>
      <c r="X186" s="375"/>
      <c r="Y186" s="375"/>
      <c r="Z186" s="375"/>
      <c r="AA186" s="375"/>
      <c r="AB186" s="375"/>
      <c r="AC186" s="396"/>
      <c r="AD186" s="360"/>
      <c r="AE186" s="360"/>
      <c r="AF186" s="360"/>
      <c r="AG186" s="360"/>
      <c r="AH186" s="360"/>
      <c r="AI186" s="360"/>
      <c r="AJ186" s="360"/>
      <c r="AK186" s="360"/>
    </row>
    <row r="187" spans="1:37" hidden="1" x14ac:dyDescent="0.25">
      <c r="A187" s="390"/>
      <c r="B187" s="369"/>
      <c r="C187" s="369"/>
      <c r="D187" s="369"/>
      <c r="E187" s="379"/>
      <c r="F187" s="380"/>
      <c r="G187" s="381"/>
      <c r="H187" s="421"/>
      <c r="I187" s="375"/>
      <c r="J187" s="375"/>
      <c r="K187" s="375"/>
      <c r="L187" s="375"/>
      <c r="M187" s="375"/>
      <c r="N187" s="375"/>
      <c r="O187" s="375"/>
      <c r="P187" s="375"/>
      <c r="Q187" s="375"/>
      <c r="R187" s="375"/>
      <c r="S187" s="375"/>
      <c r="T187" s="375"/>
      <c r="U187" s="375"/>
      <c r="V187" s="375"/>
      <c r="W187" s="375"/>
      <c r="X187" s="375"/>
      <c r="Y187" s="375"/>
      <c r="Z187" s="375"/>
      <c r="AA187" s="375"/>
      <c r="AB187" s="375"/>
      <c r="AC187" s="396"/>
      <c r="AD187" s="360"/>
      <c r="AE187" s="360"/>
      <c r="AF187" s="360"/>
      <c r="AG187" s="360"/>
      <c r="AH187" s="360"/>
      <c r="AI187" s="360"/>
      <c r="AJ187" s="360"/>
      <c r="AK187" s="360"/>
    </row>
    <row r="188" spans="1:37" hidden="1" x14ac:dyDescent="0.25">
      <c r="A188" s="390"/>
      <c r="B188" s="369"/>
      <c r="C188" s="369"/>
      <c r="D188" s="369"/>
      <c r="E188" s="379"/>
      <c r="F188" s="380"/>
      <c r="G188" s="381"/>
      <c r="H188" s="421"/>
      <c r="I188" s="375"/>
      <c r="J188" s="375"/>
      <c r="K188" s="375"/>
      <c r="L188" s="375"/>
      <c r="M188" s="375"/>
      <c r="N188" s="375"/>
      <c r="O188" s="375"/>
      <c r="P188" s="375"/>
      <c r="Q188" s="375"/>
      <c r="R188" s="375"/>
      <c r="S188" s="375"/>
      <c r="T188" s="375"/>
      <c r="U188" s="375"/>
      <c r="V188" s="375"/>
      <c r="W188" s="375"/>
      <c r="X188" s="375"/>
      <c r="Y188" s="375"/>
      <c r="Z188" s="375"/>
      <c r="AA188" s="375"/>
      <c r="AB188" s="375"/>
      <c r="AC188" s="396"/>
      <c r="AD188" s="360"/>
      <c r="AE188" s="360"/>
      <c r="AF188" s="360"/>
      <c r="AG188" s="360"/>
      <c r="AH188" s="360"/>
      <c r="AI188" s="360"/>
      <c r="AJ188" s="360"/>
      <c r="AK188" s="360"/>
    </row>
    <row r="189" spans="1:37" hidden="1" x14ac:dyDescent="0.25">
      <c r="A189" s="390"/>
      <c r="B189" s="369"/>
      <c r="C189" s="369"/>
      <c r="D189" s="369"/>
      <c r="E189" s="382"/>
      <c r="F189" s="383"/>
      <c r="G189" s="384"/>
      <c r="H189" s="421"/>
      <c r="I189" s="375"/>
      <c r="J189" s="375"/>
      <c r="K189" s="375"/>
      <c r="L189" s="375"/>
      <c r="M189" s="375"/>
      <c r="N189" s="375"/>
      <c r="O189" s="375"/>
      <c r="P189" s="375"/>
      <c r="Q189" s="375"/>
      <c r="R189" s="375"/>
      <c r="S189" s="375"/>
      <c r="T189" s="375"/>
      <c r="U189" s="375"/>
      <c r="V189" s="375"/>
      <c r="W189" s="375"/>
      <c r="X189" s="375"/>
      <c r="Y189" s="375"/>
      <c r="Z189" s="375"/>
      <c r="AA189" s="375"/>
      <c r="AB189" s="375"/>
      <c r="AC189" s="396"/>
      <c r="AD189" s="360"/>
      <c r="AE189" s="360"/>
      <c r="AF189" s="360"/>
      <c r="AG189" s="360"/>
      <c r="AH189" s="360"/>
      <c r="AI189" s="360"/>
      <c r="AJ189" s="360"/>
      <c r="AK189" s="360"/>
    </row>
    <row r="190" spans="1:37" hidden="1" x14ac:dyDescent="0.25">
      <c r="A190" s="390"/>
      <c r="B190" s="369"/>
      <c r="C190" s="369"/>
      <c r="D190" s="369"/>
      <c r="E190" s="382"/>
      <c r="F190" s="383"/>
      <c r="G190" s="384"/>
      <c r="H190" s="421"/>
      <c r="I190" s="375"/>
      <c r="J190" s="375"/>
      <c r="K190" s="375"/>
      <c r="L190" s="375"/>
      <c r="M190" s="375"/>
      <c r="N190" s="375"/>
      <c r="O190" s="375"/>
      <c r="P190" s="375"/>
      <c r="Q190" s="375"/>
      <c r="R190" s="375"/>
      <c r="S190" s="375"/>
      <c r="T190" s="375"/>
      <c r="U190" s="375"/>
      <c r="V190" s="375"/>
      <c r="W190" s="375"/>
      <c r="X190" s="375"/>
      <c r="Y190" s="375"/>
      <c r="Z190" s="375"/>
      <c r="AA190" s="375"/>
      <c r="AB190" s="375"/>
      <c r="AC190" s="396"/>
      <c r="AD190" s="360"/>
      <c r="AE190" s="360"/>
      <c r="AF190" s="360"/>
      <c r="AG190" s="360"/>
      <c r="AH190" s="360"/>
      <c r="AI190" s="360"/>
      <c r="AJ190" s="360"/>
      <c r="AK190" s="360"/>
    </row>
    <row r="191" spans="1:37" hidden="1" x14ac:dyDescent="0.25">
      <c r="A191" s="390"/>
      <c r="B191" s="369"/>
      <c r="C191" s="369"/>
      <c r="D191" s="369"/>
      <c r="E191" s="382"/>
      <c r="F191" s="383"/>
      <c r="G191" s="384"/>
      <c r="H191" s="421"/>
      <c r="I191" s="375"/>
      <c r="J191" s="375"/>
      <c r="K191" s="375"/>
      <c r="L191" s="375"/>
      <c r="M191" s="375"/>
      <c r="N191" s="375"/>
      <c r="O191" s="375"/>
      <c r="P191" s="375"/>
      <c r="Q191" s="375"/>
      <c r="R191" s="375"/>
      <c r="S191" s="375"/>
      <c r="T191" s="375"/>
      <c r="U191" s="375"/>
      <c r="V191" s="375"/>
      <c r="W191" s="375"/>
      <c r="X191" s="375"/>
      <c r="Y191" s="375"/>
      <c r="Z191" s="375"/>
      <c r="AA191" s="375"/>
      <c r="AB191" s="375"/>
      <c r="AC191" s="396"/>
      <c r="AD191" s="360"/>
      <c r="AE191" s="360"/>
      <c r="AF191" s="360"/>
      <c r="AG191" s="360"/>
      <c r="AH191" s="360"/>
      <c r="AI191" s="360"/>
      <c r="AJ191" s="360"/>
      <c r="AK191" s="360"/>
    </row>
    <row r="192" spans="1:37" hidden="1" x14ac:dyDescent="0.25">
      <c r="A192" s="390"/>
      <c r="B192" s="369"/>
      <c r="C192" s="369"/>
      <c r="D192" s="369"/>
      <c r="E192" s="382"/>
      <c r="F192" s="383"/>
      <c r="G192" s="384"/>
      <c r="H192" s="421"/>
      <c r="I192" s="375"/>
      <c r="J192" s="375"/>
      <c r="K192" s="375"/>
      <c r="L192" s="375"/>
      <c r="M192" s="375"/>
      <c r="N192" s="375"/>
      <c r="O192" s="375"/>
      <c r="P192" s="375"/>
      <c r="Q192" s="375"/>
      <c r="R192" s="375"/>
      <c r="S192" s="375"/>
      <c r="T192" s="375"/>
      <c r="U192" s="375"/>
      <c r="V192" s="375"/>
      <c r="W192" s="375"/>
      <c r="X192" s="375"/>
      <c r="Y192" s="375"/>
      <c r="Z192" s="375"/>
      <c r="AA192" s="375"/>
      <c r="AB192" s="375"/>
      <c r="AC192" s="396"/>
      <c r="AD192" s="360"/>
      <c r="AE192" s="360"/>
      <c r="AF192" s="360"/>
      <c r="AG192" s="360"/>
      <c r="AH192" s="360"/>
      <c r="AI192" s="360"/>
      <c r="AJ192" s="360"/>
      <c r="AK192" s="360"/>
    </row>
    <row r="193" spans="1:37" hidden="1" x14ac:dyDescent="0.25">
      <c r="A193" s="390"/>
      <c r="B193" s="369"/>
      <c r="C193" s="369"/>
      <c r="D193" s="369"/>
      <c r="E193" s="382"/>
      <c r="F193" s="383"/>
      <c r="G193" s="384"/>
      <c r="H193" s="421"/>
      <c r="I193" s="375"/>
      <c r="J193" s="375"/>
      <c r="K193" s="375"/>
      <c r="L193" s="375"/>
      <c r="M193" s="375"/>
      <c r="N193" s="375"/>
      <c r="O193" s="375"/>
      <c r="P193" s="375"/>
      <c r="Q193" s="375"/>
      <c r="R193" s="375"/>
      <c r="S193" s="375"/>
      <c r="T193" s="375"/>
      <c r="U193" s="375"/>
      <c r="V193" s="375"/>
      <c r="W193" s="375"/>
      <c r="X193" s="375"/>
      <c r="Y193" s="375"/>
      <c r="Z193" s="375"/>
      <c r="AA193" s="375"/>
      <c r="AB193" s="375"/>
      <c r="AC193" s="396"/>
      <c r="AD193" s="360"/>
      <c r="AE193" s="360"/>
      <c r="AF193" s="360"/>
      <c r="AG193" s="360"/>
      <c r="AH193" s="360"/>
      <c r="AI193" s="360"/>
      <c r="AJ193" s="360"/>
      <c r="AK193" s="360"/>
    </row>
    <row r="194" spans="1:37" s="387" customFormat="1" hidden="1" x14ac:dyDescent="0.25">
      <c r="A194" s="410"/>
      <c r="B194" s="415"/>
      <c r="C194" s="415"/>
      <c r="D194" s="415"/>
      <c r="E194" s="417">
        <v>2005</v>
      </c>
      <c r="F194" s="417">
        <v>2010</v>
      </c>
      <c r="G194" s="417">
        <v>2020</v>
      </c>
      <c r="H194" s="417"/>
      <c r="I194" s="417"/>
      <c r="J194" s="417"/>
      <c r="K194" s="417"/>
      <c r="L194" s="417"/>
      <c r="M194" s="417"/>
      <c r="N194" s="417"/>
      <c r="O194" s="417"/>
      <c r="P194" s="417"/>
      <c r="Q194" s="417"/>
      <c r="R194" s="417"/>
      <c r="S194" s="417"/>
      <c r="T194" s="417"/>
      <c r="U194" s="417"/>
      <c r="V194" s="417"/>
      <c r="W194" s="417"/>
      <c r="X194" s="417"/>
      <c r="Y194" s="417"/>
      <c r="Z194" s="417"/>
      <c r="AA194" s="417"/>
      <c r="AB194" s="417"/>
      <c r="AC194" s="412"/>
    </row>
    <row r="195" spans="1:37" s="362" customFormat="1" ht="105" x14ac:dyDescent="0.25">
      <c r="A195" s="418" t="s">
        <v>953</v>
      </c>
      <c r="B195" s="436" t="s">
        <v>21</v>
      </c>
      <c r="C195" s="437" t="s">
        <v>959</v>
      </c>
      <c r="D195" s="436" t="s">
        <v>1084</v>
      </c>
      <c r="E195" s="420">
        <v>1.0200000000000001E-2</v>
      </c>
      <c r="F195" s="420">
        <v>0.11550000000000001</v>
      </c>
      <c r="G195" s="420">
        <v>0.29909999999999998</v>
      </c>
      <c r="H195" s="421">
        <v>2020</v>
      </c>
      <c r="I195" s="421">
        <v>0.29909999999999998</v>
      </c>
      <c r="J195" s="421">
        <v>2015</v>
      </c>
      <c r="K195" s="411">
        <v>2.51701</v>
      </c>
      <c r="L195" s="421">
        <v>3.5</v>
      </c>
      <c r="M195" s="421"/>
      <c r="N195" s="421">
        <f>(L195-K195)*0.5+K195</f>
        <v>3.008505</v>
      </c>
      <c r="O195" s="421">
        <f>(Table14[[#This Row],[Ambitious target 2030]]-Table14[[#This Row],[Model reference value]])*0.25+Table14[[#This Row],[Model reference value]]</f>
        <v>2.7627575000000002</v>
      </c>
      <c r="P195" s="421">
        <f>K195</f>
        <v>2.51701</v>
      </c>
      <c r="Q195" s="421">
        <v>29.439</v>
      </c>
      <c r="R195" s="421"/>
      <c r="S195" s="421">
        <f>(Table14[[#This Row],[Ambitious target 2050]]-Table14[[#This Row],[Model reference value]])*0.5+Table14[[#This Row],[Model reference value]]</f>
        <v>15.978005</v>
      </c>
      <c r="T195" s="421">
        <f>(Table14[[#This Row],[Ambitious target 2050]]-Table14[[#This Row],[Model reference value]])*0.25+Table14[[#This Row],[Model reference value]]</f>
        <v>9.2475075000000011</v>
      </c>
      <c r="U195" s="421">
        <f>Table14[[#This Row],[Worst value 2030]]</f>
        <v>2.51701</v>
      </c>
      <c r="V195" s="421">
        <v>117.854</v>
      </c>
      <c r="W195" s="421"/>
      <c r="X195" s="421">
        <f>(Table14[[#This Row],[Ambitious target 2100]]-Table14[[#This Row],[Model reference value]])*0.5+Table14[[#This Row],[Model reference value]]</f>
        <v>60.185504999999999</v>
      </c>
      <c r="Y195" s="421">
        <f>(Table14[[#This Row],[Ambitious target 2100]]-Table14[[#This Row],[Model reference value]])*0.25+Table14[[#This Row],[Model reference value]]</f>
        <v>31.351257499999999</v>
      </c>
      <c r="Z195" s="421">
        <f>Table14[[#This Row],[Worst value 2030]]</f>
        <v>2.51701</v>
      </c>
      <c r="AA195" s="421" t="s">
        <v>985</v>
      </c>
      <c r="AB195" s="422" t="s">
        <v>1584</v>
      </c>
      <c r="AC195" s="419" t="s">
        <v>979</v>
      </c>
      <c r="AD195" s="371" t="s">
        <v>1134</v>
      </c>
    </row>
    <row r="196" spans="1:37" s="362" customFormat="1" hidden="1" x14ac:dyDescent="0.25">
      <c r="A196" s="389"/>
      <c r="B196" s="372"/>
      <c r="C196" s="372"/>
      <c r="D196" s="372"/>
      <c r="E196" s="379"/>
      <c r="F196" s="380"/>
      <c r="G196" s="381"/>
      <c r="H196" s="421"/>
      <c r="I196" s="375"/>
      <c r="J196" s="375"/>
      <c r="K196" s="375"/>
      <c r="L196" s="375"/>
      <c r="M196" s="375"/>
      <c r="N196" s="375"/>
      <c r="O196" s="375"/>
      <c r="P196" s="375"/>
      <c r="Q196" s="375"/>
      <c r="R196" s="375"/>
      <c r="S196" s="375"/>
      <c r="T196" s="375"/>
      <c r="U196" s="375"/>
      <c r="V196" s="375"/>
      <c r="W196" s="375"/>
      <c r="X196" s="375"/>
      <c r="Y196" s="375"/>
      <c r="Z196" s="375"/>
      <c r="AA196" s="375"/>
      <c r="AB196" s="375"/>
      <c r="AC196" s="399"/>
    </row>
    <row r="197" spans="1:37" s="362" customFormat="1" hidden="1" x14ac:dyDescent="0.25">
      <c r="A197" s="389"/>
      <c r="B197" s="372"/>
      <c r="C197" s="372"/>
      <c r="D197" s="372"/>
      <c r="E197" s="379"/>
      <c r="F197" s="380"/>
      <c r="G197" s="381"/>
      <c r="H197" s="421"/>
      <c r="I197" s="375"/>
      <c r="J197" s="375"/>
      <c r="K197" s="375"/>
      <c r="L197" s="375"/>
      <c r="M197" s="375"/>
      <c r="N197" s="375"/>
      <c r="O197" s="375"/>
      <c r="P197" s="375"/>
      <c r="Q197" s="375"/>
      <c r="R197" s="375"/>
      <c r="S197" s="375"/>
      <c r="T197" s="375"/>
      <c r="U197" s="375"/>
      <c r="V197" s="375"/>
      <c r="W197" s="375"/>
      <c r="X197" s="375"/>
      <c r="Y197" s="375"/>
      <c r="Z197" s="375"/>
      <c r="AA197" s="375"/>
      <c r="AB197" s="375"/>
      <c r="AC197" s="399"/>
    </row>
    <row r="198" spans="1:37" s="362" customFormat="1" hidden="1" x14ac:dyDescent="0.25">
      <c r="A198" s="389"/>
      <c r="B198" s="372"/>
      <c r="C198" s="372"/>
      <c r="D198" s="372"/>
      <c r="E198" s="379"/>
      <c r="F198" s="380"/>
      <c r="G198" s="381"/>
      <c r="H198" s="421"/>
      <c r="I198" s="375"/>
      <c r="J198" s="375"/>
      <c r="K198" s="375"/>
      <c r="L198" s="375"/>
      <c r="M198" s="375"/>
      <c r="N198" s="375"/>
      <c r="O198" s="375"/>
      <c r="P198" s="375"/>
      <c r="Q198" s="375"/>
      <c r="R198" s="375"/>
      <c r="S198" s="375"/>
      <c r="T198" s="375"/>
      <c r="U198" s="375"/>
      <c r="V198" s="375"/>
      <c r="W198" s="375"/>
      <c r="X198" s="375"/>
      <c r="Y198" s="375"/>
      <c r="Z198" s="375"/>
      <c r="AA198" s="375"/>
      <c r="AB198" s="375"/>
      <c r="AC198" s="399"/>
    </row>
    <row r="199" spans="1:37" s="362" customFormat="1" hidden="1" x14ac:dyDescent="0.25">
      <c r="A199" s="389"/>
      <c r="B199" s="372"/>
      <c r="C199" s="372"/>
      <c r="D199" s="372"/>
      <c r="E199" s="379"/>
      <c r="F199" s="380"/>
      <c r="G199" s="381"/>
      <c r="H199" s="421"/>
      <c r="I199" s="375"/>
      <c r="J199" s="375"/>
      <c r="K199" s="375"/>
      <c r="L199" s="375"/>
      <c r="M199" s="375"/>
      <c r="N199" s="431"/>
      <c r="O199" s="431"/>
      <c r="P199" s="431"/>
      <c r="Q199" s="431"/>
      <c r="R199" s="431"/>
      <c r="S199" s="431"/>
      <c r="T199" s="431"/>
      <c r="U199" s="431"/>
      <c r="V199" s="431"/>
      <c r="W199" s="431"/>
      <c r="X199" s="431"/>
      <c r="Y199" s="431"/>
      <c r="Z199" s="431"/>
      <c r="AA199" s="375"/>
      <c r="AB199" s="375"/>
      <c r="AC199" s="399"/>
    </row>
    <row r="200" spans="1:37" s="362" customFormat="1" hidden="1" x14ac:dyDescent="0.25">
      <c r="A200" s="389"/>
      <c r="B200" s="372"/>
      <c r="C200" s="372"/>
      <c r="D200" s="372"/>
      <c r="E200" s="379"/>
      <c r="F200" s="380"/>
      <c r="G200" s="381"/>
      <c r="H200" s="421"/>
      <c r="I200" s="375"/>
      <c r="J200" s="375"/>
      <c r="K200" s="375"/>
      <c r="L200" s="375"/>
      <c r="M200" s="375"/>
      <c r="N200" s="431"/>
      <c r="O200" s="431"/>
      <c r="P200" s="431"/>
      <c r="Q200" s="431"/>
      <c r="R200" s="431"/>
      <c r="S200" s="431"/>
      <c r="T200" s="431"/>
      <c r="U200" s="431"/>
      <c r="V200" s="431"/>
      <c r="W200" s="431"/>
      <c r="X200" s="431"/>
      <c r="Y200" s="431"/>
      <c r="Z200" s="431"/>
      <c r="AA200" s="375"/>
      <c r="AB200" s="375"/>
      <c r="AC200" s="399"/>
    </row>
    <row r="201" spans="1:37" s="362" customFormat="1" hidden="1" x14ac:dyDescent="0.25">
      <c r="A201" s="389"/>
      <c r="B201" s="372"/>
      <c r="C201" s="372"/>
      <c r="D201" s="372"/>
      <c r="E201" s="382"/>
      <c r="F201" s="383"/>
      <c r="G201" s="384"/>
      <c r="H201" s="421"/>
      <c r="I201" s="375"/>
      <c r="J201" s="375"/>
      <c r="K201" s="375"/>
      <c r="L201" s="375"/>
      <c r="M201" s="375"/>
      <c r="N201" s="375"/>
      <c r="O201" s="375"/>
      <c r="P201" s="375"/>
      <c r="Q201" s="375"/>
      <c r="R201" s="375"/>
      <c r="S201" s="375"/>
      <c r="T201" s="375"/>
      <c r="U201" s="375"/>
      <c r="V201" s="375"/>
      <c r="W201" s="375"/>
      <c r="X201" s="375"/>
      <c r="Y201" s="375"/>
      <c r="Z201" s="375"/>
      <c r="AA201" s="375"/>
      <c r="AB201" s="375"/>
      <c r="AC201" s="399"/>
    </row>
    <row r="202" spans="1:37" s="362" customFormat="1" hidden="1" x14ac:dyDescent="0.25">
      <c r="A202" s="389"/>
      <c r="B202" s="372"/>
      <c r="C202" s="372"/>
      <c r="D202" s="372"/>
      <c r="E202" s="382"/>
      <c r="F202" s="383"/>
      <c r="G202" s="384"/>
      <c r="H202" s="421"/>
      <c r="I202" s="375"/>
      <c r="J202" s="375"/>
      <c r="K202" s="375"/>
      <c r="L202" s="375"/>
      <c r="M202" s="375"/>
      <c r="N202" s="375"/>
      <c r="O202" s="375"/>
      <c r="P202" s="375"/>
      <c r="Q202" s="375"/>
      <c r="R202" s="375"/>
      <c r="S202" s="375"/>
      <c r="T202" s="375"/>
      <c r="U202" s="375"/>
      <c r="V202" s="375"/>
      <c r="W202" s="375"/>
      <c r="X202" s="375"/>
      <c r="Y202" s="375"/>
      <c r="Z202" s="375"/>
      <c r="AA202" s="375"/>
      <c r="AB202" s="375"/>
      <c r="AC202" s="399"/>
    </row>
    <row r="203" spans="1:37" s="362" customFormat="1" hidden="1" x14ac:dyDescent="0.25">
      <c r="A203" s="389"/>
      <c r="B203" s="372"/>
      <c r="C203" s="372"/>
      <c r="D203" s="372"/>
      <c r="E203" s="382"/>
      <c r="F203" s="383"/>
      <c r="G203" s="384"/>
      <c r="H203" s="421"/>
      <c r="I203" s="375"/>
      <c r="J203" s="375"/>
      <c r="K203" s="375"/>
      <c r="L203" s="375"/>
      <c r="M203" s="375"/>
      <c r="N203" s="431"/>
      <c r="O203" s="431"/>
      <c r="P203" s="431"/>
      <c r="Q203" s="431"/>
      <c r="R203" s="431"/>
      <c r="S203" s="431"/>
      <c r="T203" s="431"/>
      <c r="U203" s="431"/>
      <c r="V203" s="431"/>
      <c r="W203" s="431"/>
      <c r="X203" s="431"/>
      <c r="Y203" s="431"/>
      <c r="Z203" s="431"/>
      <c r="AA203" s="375"/>
      <c r="AB203" s="375"/>
      <c r="AC203" s="399"/>
    </row>
    <row r="204" spans="1:37" s="362" customFormat="1" hidden="1" x14ac:dyDescent="0.25">
      <c r="A204" s="389"/>
      <c r="B204" s="372"/>
      <c r="C204" s="372"/>
      <c r="D204" s="372"/>
      <c r="E204" s="382"/>
      <c r="F204" s="383"/>
      <c r="G204" s="384"/>
      <c r="H204" s="421"/>
      <c r="I204" s="375"/>
      <c r="J204" s="375"/>
      <c r="K204" s="375"/>
      <c r="L204" s="375"/>
      <c r="M204" s="375"/>
      <c r="N204" s="431"/>
      <c r="O204" s="431"/>
      <c r="P204" s="431"/>
      <c r="Q204" s="431"/>
      <c r="R204" s="431"/>
      <c r="S204" s="431"/>
      <c r="T204" s="431"/>
      <c r="U204" s="431"/>
      <c r="V204" s="431"/>
      <c r="W204" s="431"/>
      <c r="X204" s="431"/>
      <c r="Y204" s="431"/>
      <c r="Z204" s="431"/>
      <c r="AA204" s="375"/>
      <c r="AB204" s="375"/>
      <c r="AC204" s="399"/>
    </row>
    <row r="205" spans="1:37" s="362" customFormat="1" hidden="1" x14ac:dyDescent="0.25">
      <c r="A205" s="389"/>
      <c r="B205" s="372"/>
      <c r="C205" s="372"/>
      <c r="D205" s="372"/>
      <c r="E205" s="382"/>
      <c r="F205" s="383"/>
      <c r="G205" s="384"/>
      <c r="H205" s="421"/>
      <c r="I205" s="375"/>
      <c r="J205" s="375"/>
      <c r="K205" s="375"/>
      <c r="L205" s="375"/>
      <c r="M205" s="375"/>
      <c r="N205" s="431"/>
      <c r="O205" s="431"/>
      <c r="P205" s="431"/>
      <c r="Q205" s="431"/>
      <c r="R205" s="431"/>
      <c r="S205" s="431"/>
      <c r="T205" s="431"/>
      <c r="U205" s="431"/>
      <c r="V205" s="431"/>
      <c r="W205" s="431"/>
      <c r="X205" s="431"/>
      <c r="Y205" s="431"/>
      <c r="Z205" s="431"/>
      <c r="AA205" s="375"/>
      <c r="AB205" s="375"/>
      <c r="AC205" s="399"/>
    </row>
    <row r="206" spans="1:37" s="387" customFormat="1" hidden="1" x14ac:dyDescent="0.25">
      <c r="A206" s="410"/>
      <c r="B206" s="415"/>
      <c r="C206" s="415"/>
      <c r="D206" s="434"/>
      <c r="E206" s="417">
        <v>2005</v>
      </c>
      <c r="F206" s="417">
        <v>2010</v>
      </c>
      <c r="G206" s="417">
        <v>2020</v>
      </c>
      <c r="H206" s="417"/>
      <c r="I206" s="417"/>
      <c r="J206" s="417"/>
      <c r="K206" s="417"/>
      <c r="L206" s="417"/>
      <c r="M206" s="417"/>
      <c r="N206" s="417"/>
      <c r="O206" s="417"/>
      <c r="P206" s="417"/>
      <c r="Q206" s="417"/>
      <c r="R206" s="417"/>
      <c r="S206" s="417"/>
      <c r="T206" s="417"/>
      <c r="U206" s="417"/>
      <c r="V206" s="417"/>
      <c r="W206" s="417"/>
      <c r="X206" s="417"/>
      <c r="Y206" s="417"/>
      <c r="Z206" s="417"/>
      <c r="AA206" s="417"/>
      <c r="AB206" s="417"/>
      <c r="AC206" s="412"/>
    </row>
    <row r="207" spans="1:37" s="362" customFormat="1" ht="105" x14ac:dyDescent="0.25">
      <c r="A207" s="418" t="s">
        <v>954</v>
      </c>
      <c r="B207" s="436" t="s">
        <v>22</v>
      </c>
      <c r="C207" s="437" t="s">
        <v>959</v>
      </c>
      <c r="D207" s="436" t="s">
        <v>1084</v>
      </c>
      <c r="E207" s="420">
        <v>0.36770000000000003</v>
      </c>
      <c r="F207" s="420">
        <v>0.57010000000000005</v>
      </c>
      <c r="G207" s="420">
        <v>1.1954</v>
      </c>
      <c r="H207" s="421">
        <v>2020</v>
      </c>
      <c r="I207" s="421">
        <v>1.1954</v>
      </c>
      <c r="J207" s="421">
        <v>2015</v>
      </c>
      <c r="K207" s="411">
        <v>0.84623700000000002</v>
      </c>
      <c r="L207" s="421">
        <v>11.9</v>
      </c>
      <c r="M207" s="421"/>
      <c r="N207" s="421">
        <f>(L207-K207)*0.5+K207</f>
        <v>6.3731185000000004</v>
      </c>
      <c r="O207" s="421">
        <f>(Table14[[#This Row],[Ambitious target 2030]]-Table14[[#This Row],[Model reference value]])*0.25+Table14[[#This Row],[Model reference value]]</f>
        <v>3.6096777499999999</v>
      </c>
      <c r="P207" s="421">
        <f>K207</f>
        <v>0.84623700000000002</v>
      </c>
      <c r="Q207" s="421">
        <v>24.614999999999998</v>
      </c>
      <c r="R207" s="421"/>
      <c r="S207" s="421">
        <f>(Table14[[#This Row],[Ambitious target 2050]]-Table14[[#This Row],[Model reference value]])*0.5+Table14[[#This Row],[Model reference value]]</f>
        <v>12.7306185</v>
      </c>
      <c r="T207" s="421">
        <f>(Table14[[#This Row],[Ambitious target 2050]]-Table14[[#This Row],[Model reference value]])*0.25+Table14[[#This Row],[Model reference value]]</f>
        <v>6.7884277500000003</v>
      </c>
      <c r="U207" s="421">
        <f>Table14[[#This Row],[Worst value 2030]]</f>
        <v>0.84623700000000002</v>
      </c>
      <c r="V207" s="421">
        <v>84.51</v>
      </c>
      <c r="W207" s="421"/>
      <c r="X207" s="421">
        <f>(Table14[[#This Row],[Ambitious target 2100]]-Table14[[#This Row],[Model reference value]])*0.5+Table14[[#This Row],[Model reference value]]</f>
        <v>42.678118500000004</v>
      </c>
      <c r="Y207" s="421">
        <f>(Table14[[#This Row],[Ambitious target 2100]]-Table14[[#This Row],[Model reference value]])*0.25+Table14[[#This Row],[Model reference value]]</f>
        <v>21.762177749999999</v>
      </c>
      <c r="Z207" s="421">
        <f>Table14[[#This Row],[Worst value 2030]]</f>
        <v>0.84623700000000002</v>
      </c>
      <c r="AA207" s="421" t="s">
        <v>985</v>
      </c>
      <c r="AB207" s="422" t="s">
        <v>1585</v>
      </c>
      <c r="AC207" s="419" t="s">
        <v>979</v>
      </c>
      <c r="AD207" s="371" t="s">
        <v>1133</v>
      </c>
    </row>
    <row r="208" spans="1:37" s="362" customFormat="1" hidden="1" x14ac:dyDescent="0.25">
      <c r="A208" s="389"/>
      <c r="B208" s="372"/>
      <c r="C208" s="372"/>
      <c r="D208" s="372"/>
      <c r="E208" s="379"/>
      <c r="F208" s="380"/>
      <c r="G208" s="381"/>
      <c r="H208" s="421"/>
      <c r="I208" s="375"/>
      <c r="J208" s="375"/>
      <c r="K208" s="375"/>
      <c r="L208" s="375"/>
      <c r="M208" s="375"/>
      <c r="N208" s="375"/>
      <c r="O208" s="375"/>
      <c r="P208" s="375"/>
      <c r="Q208" s="375"/>
      <c r="R208" s="375"/>
      <c r="S208" s="375"/>
      <c r="T208" s="375"/>
      <c r="U208" s="375"/>
      <c r="V208" s="375"/>
      <c r="W208" s="375"/>
      <c r="X208" s="375"/>
      <c r="Y208" s="375"/>
      <c r="Z208" s="375"/>
      <c r="AA208" s="375"/>
      <c r="AB208" s="375"/>
      <c r="AC208" s="399"/>
    </row>
    <row r="209" spans="1:29" s="362" customFormat="1" hidden="1" x14ac:dyDescent="0.25">
      <c r="A209" s="389"/>
      <c r="B209" s="372"/>
      <c r="C209" s="372"/>
      <c r="D209" s="372"/>
      <c r="E209" s="379"/>
      <c r="F209" s="380"/>
      <c r="G209" s="381"/>
      <c r="H209" s="421"/>
      <c r="I209" s="375"/>
      <c r="J209" s="375"/>
      <c r="K209" s="375"/>
      <c r="L209" s="375"/>
      <c r="M209" s="375"/>
      <c r="N209" s="375"/>
      <c r="O209" s="375"/>
      <c r="P209" s="375"/>
      <c r="Q209" s="375"/>
      <c r="R209" s="375"/>
      <c r="S209" s="375"/>
      <c r="T209" s="375"/>
      <c r="U209" s="375"/>
      <c r="V209" s="375"/>
      <c r="W209" s="375"/>
      <c r="X209" s="375"/>
      <c r="Y209" s="375"/>
      <c r="Z209" s="375"/>
      <c r="AA209" s="375"/>
      <c r="AB209" s="375"/>
      <c r="AC209" s="399"/>
    </row>
    <row r="210" spans="1:29" s="362" customFormat="1" hidden="1" x14ac:dyDescent="0.25">
      <c r="A210" s="389"/>
      <c r="B210" s="372"/>
      <c r="C210" s="372"/>
      <c r="D210" s="372"/>
      <c r="E210" s="379"/>
      <c r="F210" s="380"/>
      <c r="G210" s="381"/>
      <c r="H210" s="421"/>
      <c r="I210" s="375"/>
      <c r="J210" s="375"/>
      <c r="K210" s="375"/>
      <c r="L210" s="375"/>
      <c r="M210" s="375"/>
      <c r="N210" s="375"/>
      <c r="O210" s="375"/>
      <c r="P210" s="375"/>
      <c r="Q210" s="375"/>
      <c r="R210" s="375"/>
      <c r="S210" s="375"/>
      <c r="T210" s="375"/>
      <c r="U210" s="375"/>
      <c r="V210" s="375"/>
      <c r="W210" s="375"/>
      <c r="X210" s="375"/>
      <c r="Y210" s="375"/>
      <c r="Z210" s="375"/>
      <c r="AA210" s="375"/>
      <c r="AB210" s="375"/>
      <c r="AC210" s="399"/>
    </row>
    <row r="211" spans="1:29" s="362" customFormat="1" hidden="1" x14ac:dyDescent="0.25">
      <c r="A211" s="389"/>
      <c r="B211" s="372"/>
      <c r="C211" s="372"/>
      <c r="D211" s="372"/>
      <c r="E211" s="379"/>
      <c r="F211" s="380"/>
      <c r="G211" s="381"/>
      <c r="H211" s="421"/>
      <c r="I211" s="375"/>
      <c r="J211" s="375"/>
      <c r="K211" s="375"/>
      <c r="L211" s="375"/>
      <c r="M211" s="375"/>
      <c r="N211" s="431"/>
      <c r="O211" s="431"/>
      <c r="P211" s="431"/>
      <c r="Q211" s="431"/>
      <c r="R211" s="431"/>
      <c r="S211" s="431"/>
      <c r="T211" s="431"/>
      <c r="U211" s="431"/>
      <c r="V211" s="431"/>
      <c r="W211" s="431"/>
      <c r="X211" s="431"/>
      <c r="Y211" s="431"/>
      <c r="Z211" s="431"/>
      <c r="AA211" s="375"/>
      <c r="AB211" s="375"/>
      <c r="AC211" s="399"/>
    </row>
    <row r="212" spans="1:29" s="362" customFormat="1" hidden="1" x14ac:dyDescent="0.25">
      <c r="A212" s="389"/>
      <c r="B212" s="372"/>
      <c r="C212" s="372"/>
      <c r="D212" s="372"/>
      <c r="E212" s="379"/>
      <c r="F212" s="380"/>
      <c r="G212" s="381"/>
      <c r="H212" s="421"/>
      <c r="I212" s="375"/>
      <c r="J212" s="375"/>
      <c r="K212" s="375"/>
      <c r="L212" s="375"/>
      <c r="M212" s="375"/>
      <c r="N212" s="431"/>
      <c r="O212" s="431"/>
      <c r="P212" s="431"/>
      <c r="Q212" s="431"/>
      <c r="R212" s="431"/>
      <c r="S212" s="431"/>
      <c r="T212" s="431"/>
      <c r="U212" s="431"/>
      <c r="V212" s="431"/>
      <c r="W212" s="431"/>
      <c r="X212" s="431"/>
      <c r="Y212" s="431"/>
      <c r="Z212" s="431"/>
      <c r="AA212" s="375"/>
      <c r="AB212" s="375"/>
      <c r="AC212" s="399"/>
    </row>
    <row r="213" spans="1:29" s="362" customFormat="1" hidden="1" x14ac:dyDescent="0.25">
      <c r="A213" s="389"/>
      <c r="B213" s="372"/>
      <c r="C213" s="372"/>
      <c r="D213" s="372"/>
      <c r="E213" s="382"/>
      <c r="F213" s="383"/>
      <c r="G213" s="384"/>
      <c r="H213" s="421"/>
      <c r="I213" s="375"/>
      <c r="J213" s="375"/>
      <c r="K213" s="375"/>
      <c r="L213" s="375"/>
      <c r="M213" s="375"/>
      <c r="N213" s="375"/>
      <c r="O213" s="375"/>
      <c r="P213" s="375"/>
      <c r="Q213" s="375"/>
      <c r="R213" s="375"/>
      <c r="S213" s="375"/>
      <c r="T213" s="375"/>
      <c r="U213" s="375"/>
      <c r="V213" s="375"/>
      <c r="W213" s="375"/>
      <c r="X213" s="375"/>
      <c r="Y213" s="375"/>
      <c r="Z213" s="375"/>
      <c r="AA213" s="375"/>
      <c r="AB213" s="375"/>
      <c r="AC213" s="399"/>
    </row>
    <row r="214" spans="1:29" s="362" customFormat="1" hidden="1" x14ac:dyDescent="0.25">
      <c r="A214" s="389"/>
      <c r="B214" s="372"/>
      <c r="C214" s="372"/>
      <c r="D214" s="372"/>
      <c r="E214" s="382"/>
      <c r="F214" s="383"/>
      <c r="G214" s="384"/>
      <c r="H214" s="421"/>
      <c r="I214" s="375"/>
      <c r="J214" s="375"/>
      <c r="K214" s="375"/>
      <c r="L214" s="375"/>
      <c r="M214" s="375"/>
      <c r="N214" s="375"/>
      <c r="O214" s="375"/>
      <c r="P214" s="375"/>
      <c r="Q214" s="375"/>
      <c r="R214" s="375"/>
      <c r="S214" s="375"/>
      <c r="T214" s="375"/>
      <c r="U214" s="375"/>
      <c r="V214" s="375"/>
      <c r="W214" s="375"/>
      <c r="X214" s="375"/>
      <c r="Y214" s="375"/>
      <c r="Z214" s="375"/>
      <c r="AA214" s="375"/>
      <c r="AB214" s="375"/>
      <c r="AC214" s="399"/>
    </row>
    <row r="215" spans="1:29" s="362" customFormat="1" hidden="1" x14ac:dyDescent="0.25">
      <c r="A215" s="389"/>
      <c r="B215" s="372"/>
      <c r="C215" s="372"/>
      <c r="D215" s="372"/>
      <c r="E215" s="382"/>
      <c r="F215" s="383"/>
      <c r="G215" s="384"/>
      <c r="H215" s="421"/>
      <c r="I215" s="375"/>
      <c r="J215" s="375"/>
      <c r="K215" s="375"/>
      <c r="L215" s="375"/>
      <c r="M215" s="375"/>
      <c r="N215" s="431"/>
      <c r="O215" s="431"/>
      <c r="P215" s="431"/>
      <c r="Q215" s="431"/>
      <c r="R215" s="431"/>
      <c r="S215" s="431"/>
      <c r="T215" s="431"/>
      <c r="U215" s="431"/>
      <c r="V215" s="431"/>
      <c r="W215" s="431"/>
      <c r="X215" s="431"/>
      <c r="Y215" s="431"/>
      <c r="Z215" s="431"/>
      <c r="AA215" s="375"/>
      <c r="AB215" s="375"/>
      <c r="AC215" s="399"/>
    </row>
    <row r="216" spans="1:29" s="362" customFormat="1" hidden="1" x14ac:dyDescent="0.25">
      <c r="A216" s="389"/>
      <c r="B216" s="372"/>
      <c r="C216" s="372"/>
      <c r="D216" s="372"/>
      <c r="E216" s="382"/>
      <c r="F216" s="383"/>
      <c r="G216" s="384"/>
      <c r="H216" s="421"/>
      <c r="I216" s="375"/>
      <c r="J216" s="375"/>
      <c r="K216" s="375"/>
      <c r="L216" s="375"/>
      <c r="M216" s="375"/>
      <c r="N216" s="431"/>
      <c r="O216" s="431"/>
      <c r="P216" s="431"/>
      <c r="Q216" s="431"/>
      <c r="R216" s="431"/>
      <c r="S216" s="431"/>
      <c r="T216" s="431"/>
      <c r="U216" s="431"/>
      <c r="V216" s="431"/>
      <c r="W216" s="431"/>
      <c r="X216" s="431"/>
      <c r="Y216" s="431"/>
      <c r="Z216" s="431"/>
      <c r="AA216" s="375"/>
      <c r="AB216" s="375"/>
      <c r="AC216" s="399"/>
    </row>
    <row r="217" spans="1:29" s="362" customFormat="1" hidden="1" x14ac:dyDescent="0.25">
      <c r="A217" s="389"/>
      <c r="B217" s="372"/>
      <c r="C217" s="372"/>
      <c r="D217" s="372"/>
      <c r="E217" s="382"/>
      <c r="F217" s="383"/>
      <c r="G217" s="384"/>
      <c r="H217" s="421"/>
      <c r="I217" s="375"/>
      <c r="J217" s="375"/>
      <c r="K217" s="375"/>
      <c r="L217" s="375"/>
      <c r="M217" s="375"/>
      <c r="N217" s="431"/>
      <c r="O217" s="431"/>
      <c r="P217" s="431"/>
      <c r="Q217" s="431"/>
      <c r="R217" s="431"/>
      <c r="S217" s="431"/>
      <c r="T217" s="431"/>
      <c r="U217" s="431"/>
      <c r="V217" s="431"/>
      <c r="W217" s="431"/>
      <c r="X217" s="431"/>
      <c r="Y217" s="431"/>
      <c r="Z217" s="431"/>
      <c r="AA217" s="375"/>
      <c r="AB217" s="375"/>
      <c r="AC217" s="399"/>
    </row>
    <row r="218" spans="1:29" s="387" customFormat="1" hidden="1" x14ac:dyDescent="0.25">
      <c r="A218" s="410"/>
      <c r="B218" s="415"/>
      <c r="C218" s="415"/>
      <c r="D218" s="415"/>
      <c r="E218" s="417">
        <v>2005</v>
      </c>
      <c r="F218" s="417">
        <v>2010</v>
      </c>
      <c r="G218" s="417">
        <v>2020</v>
      </c>
      <c r="H218" s="417"/>
      <c r="I218" s="417"/>
      <c r="J218" s="417"/>
      <c r="K218" s="417"/>
      <c r="L218" s="417"/>
      <c r="M218" s="417"/>
      <c r="N218" s="417"/>
      <c r="O218" s="417"/>
      <c r="P218" s="417"/>
      <c r="Q218" s="417"/>
      <c r="R218" s="417"/>
      <c r="S218" s="417"/>
      <c r="T218" s="417"/>
      <c r="U218" s="417"/>
      <c r="V218" s="417"/>
      <c r="W218" s="417"/>
      <c r="X218" s="417"/>
      <c r="Y218" s="417"/>
      <c r="Z218" s="417"/>
      <c r="AA218" s="417"/>
      <c r="AB218" s="417"/>
      <c r="AC218" s="412"/>
    </row>
    <row r="219" spans="1:29" s="362" customFormat="1" x14ac:dyDescent="0.25">
      <c r="A219" s="418" t="s">
        <v>955</v>
      </c>
      <c r="B219" s="436" t="s">
        <v>23</v>
      </c>
      <c r="C219" s="437" t="s">
        <v>959</v>
      </c>
      <c r="D219" s="436" t="s">
        <v>1083</v>
      </c>
      <c r="E219" s="420">
        <v>39.684927036923398</v>
      </c>
      <c r="F219" s="420">
        <v>37.299186992214103</v>
      </c>
      <c r="G219" s="420">
        <v>42.6177957241024</v>
      </c>
      <c r="H219" s="421">
        <v>2020</v>
      </c>
      <c r="I219" s="421">
        <v>42.6177957241024</v>
      </c>
      <c r="J219" s="421">
        <v>2015</v>
      </c>
      <c r="K219" s="411">
        <v>23.1904</v>
      </c>
      <c r="L219" s="421">
        <f>Table14[[#This Row],[Data reference value]]+Table14[[#This Row],[Data reference value]]*Table14[[#This Row],[Ambitious target improvement rate 2030]]</f>
        <v>85.235591448204801</v>
      </c>
      <c r="M219" s="421">
        <v>1</v>
      </c>
      <c r="N219" s="421">
        <f>(Table14[[#This Row],[Ambitious target 2030]]-Table14[[#This Row],[Model reference value]])*0.5+Table14[[#This Row],[Model reference value]]</f>
        <v>54.212995724102399</v>
      </c>
      <c r="O219" s="421">
        <f>(Table14[[#This Row],[Ambitious target 2030]]-Table14[[#This Row],[Model reference value]])*0.25+Table14[[#This Row],[Model reference value]]</f>
        <v>38.701697862051205</v>
      </c>
      <c r="P219" s="421">
        <f>Table14[[#This Row],[Model reference value]]</f>
        <v>23.1904</v>
      </c>
      <c r="Q219" s="421">
        <f>Table14[[#This Row],[Data reference value]]+Table14[[#This Row],[Data reference value]]*Table14[[#This Row],[Ambitious target improvement rate 2050]]</f>
        <v>127.85338717230721</v>
      </c>
      <c r="R219" s="421">
        <v>2</v>
      </c>
      <c r="S219" s="421">
        <f>(Table14[[#This Row],[Ambitious target 2050]]-Table14[[#This Row],[Model reference value]])*0.5+Table14[[#This Row],[Model reference value]]</f>
        <v>75.52189358615361</v>
      </c>
      <c r="T219" s="421">
        <f>(Table14[[#This Row],[Ambitious target 2050]]-Table14[[#This Row],[Model reference value]])*0.25+Table14[[#This Row],[Model reference value]]</f>
        <v>49.356146793076803</v>
      </c>
      <c r="U219" s="421">
        <f>Table14[[#This Row],[Worst value 2030]]</f>
        <v>23.1904</v>
      </c>
      <c r="V219" s="421">
        <f>Table14[[#This Row],[Data reference value]]+Table14[[#This Row],[Data reference value]]*Table14[[#This Row],[Ambitious target improvement rate 2100]]</f>
        <v>170.4711828964096</v>
      </c>
      <c r="W219" s="421">
        <v>3</v>
      </c>
      <c r="X219" s="421">
        <f>(Table14[[#This Row],[Ambitious target 2100]]-Table14[[#This Row],[Model reference value]])*0.5+Table14[[#This Row],[Model reference value]]</f>
        <v>96.830791448204792</v>
      </c>
      <c r="Y219" s="421">
        <f>(Table14[[#This Row],[Ambitious target 2100]]-Table14[[#This Row],[Model reference value]])*0.25+Table14[[#This Row],[Model reference value]]</f>
        <v>60.010595724102402</v>
      </c>
      <c r="Z219" s="421">
        <f>Table14[[#This Row],[Worst value 2030]]</f>
        <v>23.1904</v>
      </c>
      <c r="AA219" s="421" t="s">
        <v>1140</v>
      </c>
      <c r="AB219" s="421" t="s">
        <v>1187</v>
      </c>
      <c r="AC219" s="419" t="s">
        <v>979</v>
      </c>
    </row>
    <row r="220" spans="1:29" s="362" customFormat="1" hidden="1" x14ac:dyDescent="0.25">
      <c r="A220" s="389"/>
      <c r="B220" s="372"/>
      <c r="C220" s="372"/>
      <c r="D220" s="372"/>
      <c r="E220" s="379"/>
      <c r="F220" s="380"/>
      <c r="G220" s="381"/>
      <c r="H220" s="421"/>
      <c r="I220" s="375"/>
      <c r="J220" s="375"/>
      <c r="K220" s="375"/>
      <c r="L220" s="375"/>
      <c r="M220" s="375"/>
      <c r="N220" s="375"/>
      <c r="O220" s="375"/>
      <c r="P220" s="375"/>
      <c r="Q220" s="375"/>
      <c r="R220" s="375"/>
      <c r="S220" s="375"/>
      <c r="T220" s="375"/>
      <c r="U220" s="375"/>
      <c r="V220" s="375"/>
      <c r="W220" s="375"/>
      <c r="X220" s="375"/>
      <c r="Y220" s="375"/>
      <c r="Z220" s="375"/>
      <c r="AA220" s="375"/>
      <c r="AB220" s="375"/>
      <c r="AC220" s="399"/>
    </row>
    <row r="221" spans="1:29" s="362" customFormat="1" hidden="1" x14ac:dyDescent="0.25">
      <c r="A221" s="389"/>
      <c r="B221" s="372"/>
      <c r="C221" s="372"/>
      <c r="D221" s="372"/>
      <c r="E221" s="379"/>
      <c r="F221" s="380"/>
      <c r="G221" s="381"/>
      <c r="H221" s="421"/>
      <c r="I221" s="375"/>
      <c r="J221" s="375"/>
      <c r="K221" s="375"/>
      <c r="L221" s="375"/>
      <c r="M221" s="375"/>
      <c r="N221" s="375"/>
      <c r="O221" s="375"/>
      <c r="P221" s="375"/>
      <c r="Q221" s="375"/>
      <c r="R221" s="375"/>
      <c r="S221" s="375"/>
      <c r="T221" s="375"/>
      <c r="U221" s="375"/>
      <c r="V221" s="375"/>
      <c r="W221" s="375"/>
      <c r="X221" s="375"/>
      <c r="Y221" s="375"/>
      <c r="Z221" s="375"/>
      <c r="AA221" s="375"/>
      <c r="AB221" s="375"/>
      <c r="AC221" s="399"/>
    </row>
    <row r="222" spans="1:29" s="362" customFormat="1" hidden="1" x14ac:dyDescent="0.25">
      <c r="A222" s="389"/>
      <c r="B222" s="372"/>
      <c r="C222" s="372"/>
      <c r="D222" s="372"/>
      <c r="E222" s="379"/>
      <c r="F222" s="380"/>
      <c r="G222" s="381"/>
      <c r="H222" s="421"/>
      <c r="I222" s="375"/>
      <c r="J222" s="375"/>
      <c r="K222" s="375"/>
      <c r="L222" s="375"/>
      <c r="M222" s="375"/>
      <c r="N222" s="375"/>
      <c r="O222" s="375"/>
      <c r="P222" s="375"/>
      <c r="Q222" s="375"/>
      <c r="R222" s="375"/>
      <c r="S222" s="375"/>
      <c r="T222" s="375"/>
      <c r="U222" s="375"/>
      <c r="V222" s="375"/>
      <c r="W222" s="375"/>
      <c r="X222" s="375"/>
      <c r="Y222" s="375"/>
      <c r="Z222" s="375"/>
      <c r="AA222" s="375"/>
      <c r="AB222" s="375"/>
      <c r="AC222" s="399"/>
    </row>
    <row r="223" spans="1:29" s="362" customFormat="1" hidden="1" x14ac:dyDescent="0.25">
      <c r="A223" s="389"/>
      <c r="B223" s="372"/>
      <c r="C223" s="372"/>
      <c r="D223" s="372"/>
      <c r="E223" s="379"/>
      <c r="F223" s="380"/>
      <c r="G223" s="381"/>
      <c r="H223" s="421"/>
      <c r="I223" s="375"/>
      <c r="J223" s="375"/>
      <c r="K223" s="375"/>
      <c r="L223" s="375"/>
      <c r="M223" s="375"/>
      <c r="N223" s="431"/>
      <c r="O223" s="431"/>
      <c r="P223" s="431"/>
      <c r="Q223" s="431"/>
      <c r="R223" s="431"/>
      <c r="S223" s="431"/>
      <c r="T223" s="431"/>
      <c r="U223" s="431"/>
      <c r="V223" s="431"/>
      <c r="W223" s="431"/>
      <c r="X223" s="431"/>
      <c r="Y223" s="431"/>
      <c r="Z223" s="431"/>
      <c r="AA223" s="375"/>
      <c r="AB223" s="375"/>
      <c r="AC223" s="399"/>
    </row>
    <row r="224" spans="1:29" s="362" customFormat="1" hidden="1" x14ac:dyDescent="0.25">
      <c r="A224" s="389"/>
      <c r="B224" s="372"/>
      <c r="C224" s="372"/>
      <c r="D224" s="372"/>
      <c r="E224" s="379"/>
      <c r="F224" s="380"/>
      <c r="G224" s="381"/>
      <c r="H224" s="421"/>
      <c r="I224" s="375"/>
      <c r="J224" s="375"/>
      <c r="K224" s="375"/>
      <c r="L224" s="375"/>
      <c r="M224" s="375"/>
      <c r="N224" s="431"/>
      <c r="O224" s="431"/>
      <c r="P224" s="431"/>
      <c r="Q224" s="431"/>
      <c r="R224" s="431"/>
      <c r="S224" s="431"/>
      <c r="T224" s="431"/>
      <c r="U224" s="431"/>
      <c r="V224" s="431"/>
      <c r="W224" s="431"/>
      <c r="X224" s="431"/>
      <c r="Y224" s="431"/>
      <c r="Z224" s="431"/>
      <c r="AA224" s="375"/>
      <c r="AB224" s="375"/>
      <c r="AC224" s="399"/>
    </row>
    <row r="225" spans="1:29" s="362" customFormat="1" hidden="1" x14ac:dyDescent="0.25">
      <c r="A225" s="389"/>
      <c r="B225" s="372"/>
      <c r="C225" s="372"/>
      <c r="D225" s="372"/>
      <c r="E225" s="382"/>
      <c r="F225" s="383"/>
      <c r="G225" s="384"/>
      <c r="H225" s="421"/>
      <c r="I225" s="375"/>
      <c r="J225" s="375"/>
      <c r="K225" s="375"/>
      <c r="L225" s="375"/>
      <c r="M225" s="375"/>
      <c r="N225" s="375"/>
      <c r="O225" s="375"/>
      <c r="P225" s="375"/>
      <c r="Q225" s="375"/>
      <c r="R225" s="375"/>
      <c r="S225" s="375"/>
      <c r="T225" s="375"/>
      <c r="U225" s="375"/>
      <c r="V225" s="375"/>
      <c r="W225" s="375"/>
      <c r="X225" s="375"/>
      <c r="Y225" s="375"/>
      <c r="Z225" s="375"/>
      <c r="AA225" s="375"/>
      <c r="AB225" s="375"/>
      <c r="AC225" s="399"/>
    </row>
    <row r="226" spans="1:29" s="362" customFormat="1" hidden="1" x14ac:dyDescent="0.25">
      <c r="A226" s="389"/>
      <c r="B226" s="372"/>
      <c r="C226" s="372"/>
      <c r="D226" s="372"/>
      <c r="E226" s="382"/>
      <c r="F226" s="383"/>
      <c r="G226" s="384"/>
      <c r="H226" s="421"/>
      <c r="I226" s="375"/>
      <c r="J226" s="375"/>
      <c r="K226" s="375"/>
      <c r="L226" s="375"/>
      <c r="M226" s="375"/>
      <c r="N226" s="375"/>
      <c r="O226" s="375"/>
      <c r="P226" s="375"/>
      <c r="Q226" s="375"/>
      <c r="R226" s="375"/>
      <c r="S226" s="375"/>
      <c r="T226" s="375"/>
      <c r="U226" s="375"/>
      <c r="V226" s="375"/>
      <c r="W226" s="375"/>
      <c r="X226" s="375"/>
      <c r="Y226" s="375"/>
      <c r="Z226" s="375"/>
      <c r="AA226" s="375"/>
      <c r="AB226" s="375"/>
      <c r="AC226" s="399"/>
    </row>
    <row r="227" spans="1:29" s="362" customFormat="1" hidden="1" x14ac:dyDescent="0.25">
      <c r="A227" s="389"/>
      <c r="B227" s="372"/>
      <c r="C227" s="372"/>
      <c r="D227" s="372"/>
      <c r="E227" s="382"/>
      <c r="F227" s="383"/>
      <c r="G227" s="384"/>
      <c r="H227" s="421"/>
      <c r="I227" s="375"/>
      <c r="J227" s="375"/>
      <c r="K227" s="375"/>
      <c r="L227" s="375"/>
      <c r="M227" s="375"/>
      <c r="N227" s="431"/>
      <c r="O227" s="431"/>
      <c r="P227" s="431"/>
      <c r="Q227" s="431"/>
      <c r="R227" s="431"/>
      <c r="S227" s="431"/>
      <c r="T227" s="431"/>
      <c r="U227" s="431"/>
      <c r="V227" s="431"/>
      <c r="W227" s="431"/>
      <c r="X227" s="431"/>
      <c r="Y227" s="431"/>
      <c r="Z227" s="431"/>
      <c r="AA227" s="375"/>
      <c r="AB227" s="375"/>
      <c r="AC227" s="399"/>
    </row>
    <row r="228" spans="1:29" s="362" customFormat="1" hidden="1" x14ac:dyDescent="0.25">
      <c r="A228" s="389"/>
      <c r="B228" s="372"/>
      <c r="C228" s="372"/>
      <c r="D228" s="372"/>
      <c r="E228" s="382"/>
      <c r="F228" s="383"/>
      <c r="G228" s="384"/>
      <c r="H228" s="421"/>
      <c r="I228" s="375"/>
      <c r="J228" s="375"/>
      <c r="K228" s="375"/>
      <c r="L228" s="375"/>
      <c r="M228" s="375"/>
      <c r="N228" s="431"/>
      <c r="O228" s="431"/>
      <c r="P228" s="431"/>
      <c r="Q228" s="431"/>
      <c r="R228" s="431"/>
      <c r="S228" s="431"/>
      <c r="T228" s="431"/>
      <c r="U228" s="431"/>
      <c r="V228" s="431"/>
      <c r="W228" s="431"/>
      <c r="X228" s="431"/>
      <c r="Y228" s="431"/>
      <c r="Z228" s="431"/>
      <c r="AA228" s="375"/>
      <c r="AB228" s="375"/>
      <c r="AC228" s="399"/>
    </row>
    <row r="229" spans="1:29" s="362" customFormat="1" hidden="1" x14ac:dyDescent="0.25">
      <c r="A229" s="389"/>
      <c r="B229" s="372"/>
      <c r="C229" s="372"/>
      <c r="D229" s="372"/>
      <c r="E229" s="382"/>
      <c r="F229" s="383"/>
      <c r="G229" s="384"/>
      <c r="H229" s="421"/>
      <c r="I229" s="375"/>
      <c r="J229" s="375"/>
      <c r="K229" s="375"/>
      <c r="L229" s="375"/>
      <c r="M229" s="375"/>
      <c r="N229" s="431"/>
      <c r="O229" s="431"/>
      <c r="P229" s="431"/>
      <c r="Q229" s="431"/>
      <c r="R229" s="431"/>
      <c r="S229" s="431"/>
      <c r="T229" s="431"/>
      <c r="U229" s="431"/>
      <c r="V229" s="431"/>
      <c r="W229" s="431"/>
      <c r="X229" s="431"/>
      <c r="Y229" s="431"/>
      <c r="Z229" s="431"/>
      <c r="AA229" s="375"/>
      <c r="AB229" s="375"/>
      <c r="AC229" s="399"/>
    </row>
    <row r="230" spans="1:29" s="387" customFormat="1" hidden="1" x14ac:dyDescent="0.25">
      <c r="A230" s="410"/>
      <c r="B230" s="415"/>
      <c r="C230" s="415"/>
      <c r="D230" s="415"/>
      <c r="E230" s="417">
        <v>2005</v>
      </c>
      <c r="F230" s="417">
        <v>2010</v>
      </c>
      <c r="G230" s="417">
        <v>2020</v>
      </c>
      <c r="H230" s="417"/>
      <c r="I230" s="417"/>
      <c r="J230" s="417"/>
      <c r="K230" s="417"/>
      <c r="L230" s="417"/>
      <c r="M230" s="417"/>
      <c r="N230" s="417"/>
      <c r="O230" s="417"/>
      <c r="P230" s="417"/>
      <c r="Q230" s="417"/>
      <c r="R230" s="417"/>
      <c r="S230" s="417"/>
      <c r="T230" s="417"/>
      <c r="U230" s="417"/>
      <c r="V230" s="417"/>
      <c r="W230" s="417"/>
      <c r="X230" s="417"/>
      <c r="Y230" s="417"/>
      <c r="Z230" s="417"/>
      <c r="AA230" s="417"/>
      <c r="AB230" s="417"/>
      <c r="AC230" s="412"/>
    </row>
    <row r="231" spans="1:29" s="362" customFormat="1" x14ac:dyDescent="0.25">
      <c r="A231" s="418" t="s">
        <v>956</v>
      </c>
      <c r="B231" s="436" t="s">
        <v>24</v>
      </c>
      <c r="C231" s="437" t="s">
        <v>959</v>
      </c>
      <c r="D231" s="436" t="s">
        <v>1085</v>
      </c>
      <c r="E231" s="420">
        <v>167.2</v>
      </c>
      <c r="F231" s="420">
        <v>171.4</v>
      </c>
      <c r="G231" s="420">
        <v>195</v>
      </c>
      <c r="H231" s="421">
        <v>2020</v>
      </c>
      <c r="I231" s="421">
        <v>195</v>
      </c>
      <c r="J231" s="421">
        <v>2015</v>
      </c>
      <c r="K231" s="411">
        <v>185.86600000000001</v>
      </c>
      <c r="L231" s="421">
        <f>Table14[[#This Row],[Data reference value]]+Table14[[#This Row],[Data reference value]]*Table14[[#This Row],[Ambitious target improvement rate 2030]]</f>
        <v>136.5</v>
      </c>
      <c r="M231" s="421">
        <v>-0.3</v>
      </c>
      <c r="N231" s="421">
        <f>(Table14[[#This Row],[Ambitious target 2030]]-Table14[[#This Row],[Model reference value]])*0.5+Table14[[#This Row],[Model reference value]]</f>
        <v>161.18299999999999</v>
      </c>
      <c r="O231" s="421">
        <f>(Table14[[#This Row],[Ambitious target 2030]]-Table14[[#This Row],[Model reference value]])*0.25+Table14[[#This Row],[Model reference value]]</f>
        <v>173.52450000000002</v>
      </c>
      <c r="P231" s="421">
        <f>Table14[[#This Row],[Model reference value]]</f>
        <v>185.86600000000001</v>
      </c>
      <c r="Q231" s="421">
        <f>Table14[[#This Row],[Data reference value]]+Table14[[#This Row],[Data reference value]]*Table14[[#This Row],[Ambitious target improvement rate 2050]]</f>
        <v>97.5</v>
      </c>
      <c r="R231" s="421">
        <v>-0.5</v>
      </c>
      <c r="S231" s="421">
        <f>(Table14[[#This Row],[Ambitious target 2050]]-Table14[[#This Row],[Model reference value]])*0.5+Table14[[#This Row],[Model reference value]]</f>
        <v>141.68299999999999</v>
      </c>
      <c r="T231" s="421">
        <f>(Table14[[#This Row],[Ambitious target 2050]]-Table14[[#This Row],[Model reference value]])*0.25+Table14[[#This Row],[Model reference value]]</f>
        <v>163.77450000000002</v>
      </c>
      <c r="U231" s="421">
        <f>Table14[[#This Row],[Worst value 2030]]</f>
        <v>185.86600000000001</v>
      </c>
      <c r="V231" s="421">
        <f>Table14[[#This Row],[Data reference value]]+Table14[[#This Row],[Data reference value]]*Table14[[#This Row],[Ambitious target improvement rate 2100]]</f>
        <v>0</v>
      </c>
      <c r="W231" s="421">
        <v>-1</v>
      </c>
      <c r="X231" s="421">
        <f>(Table14[[#This Row],[Ambitious target 2100]]-Table14[[#This Row],[Model reference value]])*0.5+Table14[[#This Row],[Model reference value]]</f>
        <v>92.933000000000007</v>
      </c>
      <c r="Y231" s="421">
        <f>(Table14[[#This Row],[Ambitious target 2100]]-Table14[[#This Row],[Model reference value]])*0.25+Table14[[#This Row],[Model reference value]]</f>
        <v>139.39950000000002</v>
      </c>
      <c r="Z231" s="421">
        <f>Table14[[#This Row],[Worst value 2030]]</f>
        <v>185.86600000000001</v>
      </c>
      <c r="AA231" s="421" t="s">
        <v>1140</v>
      </c>
      <c r="AB231" s="421" t="s">
        <v>1189</v>
      </c>
      <c r="AC231" s="419" t="s">
        <v>979</v>
      </c>
    </row>
    <row r="232" spans="1:29" s="362" customFormat="1" hidden="1" x14ac:dyDescent="0.25">
      <c r="A232" s="389"/>
      <c r="B232" s="372"/>
      <c r="C232" s="372"/>
      <c r="D232" s="372"/>
      <c r="E232" s="379"/>
      <c r="F232" s="380"/>
      <c r="G232" s="381"/>
      <c r="H232" s="421"/>
      <c r="I232" s="375"/>
      <c r="J232" s="375"/>
      <c r="K232" s="375"/>
      <c r="L232" s="375"/>
      <c r="M232" s="375"/>
      <c r="N232" s="375"/>
      <c r="O232" s="375"/>
      <c r="P232" s="375"/>
      <c r="Q232" s="375"/>
      <c r="R232" s="375"/>
      <c r="S232" s="375"/>
      <c r="T232" s="375"/>
      <c r="U232" s="375"/>
      <c r="V232" s="375"/>
      <c r="W232" s="375"/>
      <c r="X232" s="375"/>
      <c r="Y232" s="375"/>
      <c r="Z232" s="375"/>
      <c r="AA232" s="375"/>
      <c r="AB232" s="375"/>
      <c r="AC232" s="399"/>
    </row>
    <row r="233" spans="1:29" s="362" customFormat="1" hidden="1" x14ac:dyDescent="0.25">
      <c r="A233" s="389"/>
      <c r="B233" s="372"/>
      <c r="C233" s="372"/>
      <c r="D233" s="372"/>
      <c r="E233" s="379"/>
      <c r="F233" s="380"/>
      <c r="G233" s="381"/>
      <c r="H233" s="421"/>
      <c r="I233" s="375"/>
      <c r="J233" s="375"/>
      <c r="K233" s="375"/>
      <c r="L233" s="375"/>
      <c r="M233" s="375"/>
      <c r="N233" s="375"/>
      <c r="O233" s="375"/>
      <c r="P233" s="375"/>
      <c r="Q233" s="375"/>
      <c r="R233" s="375"/>
      <c r="S233" s="375"/>
      <c r="T233" s="375"/>
      <c r="U233" s="375"/>
      <c r="V233" s="375"/>
      <c r="W233" s="375"/>
      <c r="X233" s="375"/>
      <c r="Y233" s="375"/>
      <c r="Z233" s="375"/>
      <c r="AA233" s="375"/>
      <c r="AB233" s="375"/>
      <c r="AC233" s="399"/>
    </row>
    <row r="234" spans="1:29" s="362" customFormat="1" hidden="1" x14ac:dyDescent="0.25">
      <c r="A234" s="389"/>
      <c r="B234" s="372"/>
      <c r="C234" s="372"/>
      <c r="D234" s="372"/>
      <c r="E234" s="379"/>
      <c r="F234" s="380"/>
      <c r="G234" s="381"/>
      <c r="H234" s="421"/>
      <c r="I234" s="375"/>
      <c r="J234" s="375"/>
      <c r="K234" s="375"/>
      <c r="L234" s="375"/>
      <c r="M234" s="375"/>
      <c r="N234" s="375"/>
      <c r="O234" s="375"/>
      <c r="P234" s="375"/>
      <c r="Q234" s="375"/>
      <c r="R234" s="375"/>
      <c r="S234" s="375"/>
      <c r="T234" s="375"/>
      <c r="U234" s="375"/>
      <c r="V234" s="375"/>
      <c r="W234" s="375"/>
      <c r="X234" s="375"/>
      <c r="Y234" s="375"/>
      <c r="Z234" s="375"/>
      <c r="AA234" s="375"/>
      <c r="AB234" s="375"/>
      <c r="AC234" s="399"/>
    </row>
    <row r="235" spans="1:29" s="362" customFormat="1" hidden="1" x14ac:dyDescent="0.25">
      <c r="A235" s="389"/>
      <c r="B235" s="372"/>
      <c r="C235" s="372"/>
      <c r="D235" s="372"/>
      <c r="E235" s="379"/>
      <c r="F235" s="380"/>
      <c r="G235" s="381"/>
      <c r="H235" s="421"/>
      <c r="I235" s="375"/>
      <c r="J235" s="375"/>
      <c r="K235" s="375"/>
      <c r="L235" s="375"/>
      <c r="M235" s="375"/>
      <c r="N235" s="431"/>
      <c r="O235" s="431"/>
      <c r="P235" s="431"/>
      <c r="Q235" s="431"/>
      <c r="R235" s="431"/>
      <c r="S235" s="431"/>
      <c r="T235" s="431"/>
      <c r="U235" s="431"/>
      <c r="V235" s="431"/>
      <c r="W235" s="431"/>
      <c r="X235" s="431"/>
      <c r="Y235" s="431"/>
      <c r="Z235" s="431"/>
      <c r="AA235" s="375"/>
      <c r="AB235" s="375"/>
      <c r="AC235" s="399"/>
    </row>
    <row r="236" spans="1:29" s="362" customFormat="1" hidden="1" x14ac:dyDescent="0.25">
      <c r="A236" s="389"/>
      <c r="B236" s="372"/>
      <c r="C236" s="372"/>
      <c r="D236" s="372"/>
      <c r="E236" s="379"/>
      <c r="F236" s="380"/>
      <c r="G236" s="381"/>
      <c r="H236" s="421"/>
      <c r="I236" s="375"/>
      <c r="J236" s="375"/>
      <c r="K236" s="375"/>
      <c r="L236" s="375"/>
      <c r="M236" s="375"/>
      <c r="N236" s="431"/>
      <c r="O236" s="431"/>
      <c r="P236" s="431"/>
      <c r="Q236" s="431"/>
      <c r="R236" s="431"/>
      <c r="S236" s="431"/>
      <c r="T236" s="431"/>
      <c r="U236" s="431"/>
      <c r="V236" s="431"/>
      <c r="W236" s="431"/>
      <c r="X236" s="431"/>
      <c r="Y236" s="431"/>
      <c r="Z236" s="431"/>
      <c r="AA236" s="375"/>
      <c r="AB236" s="375"/>
      <c r="AC236" s="399"/>
    </row>
    <row r="237" spans="1:29" s="362" customFormat="1" hidden="1" x14ac:dyDescent="0.25">
      <c r="A237" s="389"/>
      <c r="B237" s="372"/>
      <c r="C237" s="372"/>
      <c r="D237" s="372"/>
      <c r="E237" s="382"/>
      <c r="F237" s="383"/>
      <c r="G237" s="384"/>
      <c r="H237" s="421"/>
      <c r="I237" s="375"/>
      <c r="J237" s="375"/>
      <c r="K237" s="375"/>
      <c r="L237" s="375"/>
      <c r="M237" s="375"/>
      <c r="N237" s="375"/>
      <c r="O237" s="375"/>
      <c r="P237" s="375"/>
      <c r="Q237" s="375"/>
      <c r="R237" s="375"/>
      <c r="S237" s="375"/>
      <c r="T237" s="375"/>
      <c r="U237" s="375"/>
      <c r="V237" s="375"/>
      <c r="W237" s="375"/>
      <c r="X237" s="375"/>
      <c r="Y237" s="375"/>
      <c r="Z237" s="375"/>
      <c r="AA237" s="375"/>
      <c r="AB237" s="375"/>
      <c r="AC237" s="399"/>
    </row>
    <row r="238" spans="1:29" s="362" customFormat="1" hidden="1" x14ac:dyDescent="0.25">
      <c r="A238" s="389"/>
      <c r="B238" s="372"/>
      <c r="C238" s="372"/>
      <c r="D238" s="372"/>
      <c r="E238" s="382"/>
      <c r="F238" s="383"/>
      <c r="G238" s="384"/>
      <c r="H238" s="421"/>
      <c r="I238" s="375"/>
      <c r="J238" s="375"/>
      <c r="K238" s="375"/>
      <c r="L238" s="375"/>
      <c r="M238" s="375"/>
      <c r="N238" s="375"/>
      <c r="O238" s="375"/>
      <c r="P238" s="375"/>
      <c r="Q238" s="375"/>
      <c r="R238" s="375"/>
      <c r="S238" s="375"/>
      <c r="T238" s="375"/>
      <c r="U238" s="375"/>
      <c r="V238" s="375"/>
      <c r="W238" s="375"/>
      <c r="X238" s="375"/>
      <c r="Y238" s="375"/>
      <c r="Z238" s="375"/>
      <c r="AA238" s="375"/>
      <c r="AB238" s="375"/>
      <c r="AC238" s="399"/>
    </row>
    <row r="239" spans="1:29" s="362" customFormat="1" hidden="1" x14ac:dyDescent="0.25">
      <c r="A239" s="389"/>
      <c r="B239" s="372"/>
      <c r="C239" s="372"/>
      <c r="D239" s="372"/>
      <c r="E239" s="382"/>
      <c r="F239" s="383"/>
      <c r="G239" s="384"/>
      <c r="H239" s="421"/>
      <c r="I239" s="375"/>
      <c r="J239" s="375"/>
      <c r="K239" s="375"/>
      <c r="L239" s="375"/>
      <c r="M239" s="375"/>
      <c r="N239" s="431"/>
      <c r="O239" s="431"/>
      <c r="P239" s="431"/>
      <c r="Q239" s="431"/>
      <c r="R239" s="431"/>
      <c r="S239" s="431"/>
      <c r="T239" s="431"/>
      <c r="U239" s="431"/>
      <c r="V239" s="431"/>
      <c r="W239" s="431"/>
      <c r="X239" s="431"/>
      <c r="Y239" s="431"/>
      <c r="Z239" s="431"/>
      <c r="AA239" s="375"/>
      <c r="AB239" s="375"/>
      <c r="AC239" s="399"/>
    </row>
    <row r="240" spans="1:29" s="362" customFormat="1" hidden="1" x14ac:dyDescent="0.25">
      <c r="A240" s="389"/>
      <c r="B240" s="372"/>
      <c r="C240" s="372"/>
      <c r="D240" s="372"/>
      <c r="E240" s="382"/>
      <c r="F240" s="383"/>
      <c r="G240" s="384"/>
      <c r="H240" s="421"/>
      <c r="I240" s="375"/>
      <c r="J240" s="375"/>
      <c r="K240" s="375"/>
      <c r="L240" s="375"/>
      <c r="M240" s="375"/>
      <c r="N240" s="431"/>
      <c r="O240" s="431"/>
      <c r="P240" s="431"/>
      <c r="Q240" s="431"/>
      <c r="R240" s="431"/>
      <c r="S240" s="431"/>
      <c r="T240" s="431"/>
      <c r="U240" s="431"/>
      <c r="V240" s="431"/>
      <c r="W240" s="431"/>
      <c r="X240" s="431"/>
      <c r="Y240" s="431"/>
      <c r="Z240" s="431"/>
      <c r="AA240" s="375"/>
      <c r="AB240" s="375"/>
      <c r="AC240" s="399"/>
    </row>
    <row r="241" spans="1:29" s="362" customFormat="1" hidden="1" x14ac:dyDescent="0.25">
      <c r="A241" s="389"/>
      <c r="B241" s="372"/>
      <c r="C241" s="372"/>
      <c r="D241" s="372"/>
      <c r="E241" s="382"/>
      <c r="F241" s="383"/>
      <c r="G241" s="384"/>
      <c r="H241" s="421"/>
      <c r="I241" s="375"/>
      <c r="J241" s="375"/>
      <c r="K241" s="375"/>
      <c r="L241" s="375"/>
      <c r="M241" s="375"/>
      <c r="N241" s="431"/>
      <c r="O241" s="431"/>
      <c r="P241" s="431"/>
      <c r="Q241" s="431"/>
      <c r="R241" s="431"/>
      <c r="S241" s="431"/>
      <c r="T241" s="431"/>
      <c r="U241" s="431"/>
      <c r="V241" s="431"/>
      <c r="W241" s="431"/>
      <c r="X241" s="431"/>
      <c r="Y241" s="431"/>
      <c r="Z241" s="431"/>
      <c r="AA241" s="375"/>
      <c r="AB241" s="375"/>
      <c r="AC241" s="399"/>
    </row>
    <row r="242" spans="1:29" s="387" customFormat="1" hidden="1" x14ac:dyDescent="0.25">
      <c r="A242" s="410"/>
      <c r="B242" s="415"/>
      <c r="C242" s="415"/>
      <c r="D242" s="415"/>
      <c r="E242" s="417">
        <v>2005</v>
      </c>
      <c r="F242" s="417">
        <v>2010</v>
      </c>
      <c r="G242" s="417">
        <v>2020</v>
      </c>
      <c r="H242" s="417"/>
      <c r="I242" s="417"/>
      <c r="J242" s="417"/>
      <c r="K242" s="417"/>
      <c r="L242" s="417"/>
      <c r="M242" s="417"/>
      <c r="N242" s="417"/>
      <c r="O242" s="417"/>
      <c r="P242" s="417"/>
      <c r="Q242" s="417"/>
      <c r="R242" s="417"/>
      <c r="S242" s="417"/>
      <c r="T242" s="417"/>
      <c r="U242" s="417"/>
      <c r="V242" s="417"/>
      <c r="W242" s="417"/>
      <c r="X242" s="417"/>
      <c r="Y242" s="417"/>
      <c r="Z242" s="417"/>
      <c r="AA242" s="417"/>
      <c r="AB242" s="417"/>
      <c r="AC242" s="412"/>
    </row>
    <row r="243" spans="1:29" s="362" customFormat="1" x14ac:dyDescent="0.25">
      <c r="A243" s="418" t="s">
        <v>957</v>
      </c>
      <c r="B243" s="436" t="s">
        <v>25</v>
      </c>
      <c r="C243" s="437" t="s">
        <v>959</v>
      </c>
      <c r="D243" s="436" t="s">
        <v>1086</v>
      </c>
      <c r="E243" s="420">
        <v>101.93460156250001</v>
      </c>
      <c r="F243" s="420">
        <v>112.74639843750001</v>
      </c>
      <c r="G243" s="420">
        <v>152.18899999999999</v>
      </c>
      <c r="H243" s="421">
        <v>2020</v>
      </c>
      <c r="I243" s="421">
        <v>152.18899999999999</v>
      </c>
      <c r="J243" s="421">
        <v>2015</v>
      </c>
      <c r="K243" s="411">
        <v>149.126</v>
      </c>
      <c r="L243" s="421">
        <f>Table14[[#This Row],[Data reference value]]+Table14[[#This Row],[Data reference value]]*Table14[[#This Row],[Ambitious target improvement rate 2030]]</f>
        <v>106.53229999999999</v>
      </c>
      <c r="M243" s="421">
        <v>-0.3</v>
      </c>
      <c r="N243" s="421">
        <f>(Table14[[#This Row],[Ambitious target 2030]]-Table14[[#This Row],[Model reference value]])*0.5+Table14[[#This Row],[Model reference value]]</f>
        <v>127.82915</v>
      </c>
      <c r="O243" s="421">
        <f>(Table14[[#This Row],[Ambitious target 2030]]-Table14[[#This Row],[Model reference value]])*0.25+Table14[[#This Row],[Model reference value]]</f>
        <v>138.477575</v>
      </c>
      <c r="P243" s="421">
        <f>Table14[[#This Row],[Model reference value]]</f>
        <v>149.126</v>
      </c>
      <c r="Q243" s="421">
        <f>Table14[[#This Row],[Data reference value]]+Table14[[#This Row],[Data reference value]]*Table14[[#This Row],[Ambitious target improvement rate 2050]]</f>
        <v>76.094499999999996</v>
      </c>
      <c r="R243" s="421">
        <v>-0.5</v>
      </c>
      <c r="S243" s="421">
        <f>(Table14[[#This Row],[Ambitious target 2050]]-Table14[[#This Row],[Model reference value]])*0.5+Table14[[#This Row],[Model reference value]]</f>
        <v>112.61025000000001</v>
      </c>
      <c r="T243" s="421">
        <f>(Table14[[#This Row],[Ambitious target 2050]]-Table14[[#This Row],[Model reference value]])*0.25+Table14[[#This Row],[Model reference value]]</f>
        <v>130.86812499999999</v>
      </c>
      <c r="U243" s="421">
        <f>Table14[[#This Row],[Worst value 2030]]</f>
        <v>149.126</v>
      </c>
      <c r="V243" s="421">
        <f>Table14[[#This Row],[Data reference value]]+Table14[[#This Row],[Data reference value]]*Table14[[#This Row],[Ambitious target improvement rate 2100]]</f>
        <v>0</v>
      </c>
      <c r="W243" s="421">
        <v>-1</v>
      </c>
      <c r="X243" s="421">
        <f>(Table14[[#This Row],[Ambitious target 2100]]-Table14[[#This Row],[Model reference value]])*0.5+Table14[[#This Row],[Model reference value]]</f>
        <v>74.563000000000002</v>
      </c>
      <c r="Y243" s="421">
        <f>(Table14[[#This Row],[Ambitious target 2100]]-Table14[[#This Row],[Model reference value]])*0.25+Table14[[#This Row],[Model reference value]]</f>
        <v>111.84450000000001</v>
      </c>
      <c r="Z243" s="421">
        <f>Table14[[#This Row],[Worst value 2030]]</f>
        <v>149.126</v>
      </c>
      <c r="AA243" s="421" t="s">
        <v>1140</v>
      </c>
      <c r="AB243" s="421" t="s">
        <v>1089</v>
      </c>
      <c r="AC243" s="419" t="s">
        <v>979</v>
      </c>
    </row>
    <row r="244" spans="1:29" s="362" customFormat="1" hidden="1" x14ac:dyDescent="0.25">
      <c r="A244" s="389"/>
      <c r="B244" s="372"/>
      <c r="C244" s="372"/>
      <c r="D244" s="372"/>
      <c r="E244" s="379"/>
      <c r="F244" s="380"/>
      <c r="G244" s="381"/>
      <c r="H244" s="421"/>
      <c r="I244" s="375"/>
      <c r="J244" s="375"/>
      <c r="K244" s="375"/>
      <c r="L244" s="375"/>
      <c r="M244" s="375"/>
      <c r="N244" s="375"/>
      <c r="O244" s="375"/>
      <c r="P244" s="375"/>
      <c r="Q244" s="375"/>
      <c r="R244" s="375"/>
      <c r="S244" s="375"/>
      <c r="T244" s="375"/>
      <c r="U244" s="375"/>
      <c r="V244" s="375"/>
      <c r="W244" s="375"/>
      <c r="X244" s="375"/>
      <c r="Y244" s="375"/>
      <c r="Z244" s="375"/>
      <c r="AA244" s="375"/>
      <c r="AB244" s="375"/>
      <c r="AC244" s="399"/>
    </row>
    <row r="245" spans="1:29" s="362" customFormat="1" hidden="1" x14ac:dyDescent="0.25">
      <c r="A245" s="389"/>
      <c r="B245" s="372"/>
      <c r="C245" s="372"/>
      <c r="D245" s="372"/>
      <c r="E245" s="379"/>
      <c r="F245" s="380"/>
      <c r="G245" s="381"/>
      <c r="H245" s="421"/>
      <c r="I245" s="375"/>
      <c r="J245" s="375"/>
      <c r="K245" s="375"/>
      <c r="L245" s="375"/>
      <c r="M245" s="375"/>
      <c r="N245" s="375"/>
      <c r="O245" s="375"/>
      <c r="P245" s="375"/>
      <c r="Q245" s="375"/>
      <c r="R245" s="375"/>
      <c r="S245" s="375"/>
      <c r="T245" s="375"/>
      <c r="U245" s="375"/>
      <c r="V245" s="375"/>
      <c r="W245" s="375"/>
      <c r="X245" s="375"/>
      <c r="Y245" s="375"/>
      <c r="Z245" s="375"/>
      <c r="AA245" s="375"/>
      <c r="AB245" s="375"/>
      <c r="AC245" s="399"/>
    </row>
    <row r="246" spans="1:29" s="362" customFormat="1" hidden="1" x14ac:dyDescent="0.25">
      <c r="A246" s="389"/>
      <c r="B246" s="372"/>
      <c r="C246" s="372"/>
      <c r="D246" s="372"/>
      <c r="E246" s="379"/>
      <c r="F246" s="380"/>
      <c r="G246" s="381"/>
      <c r="H246" s="421"/>
      <c r="I246" s="375"/>
      <c r="J246" s="375"/>
      <c r="K246" s="375"/>
      <c r="L246" s="375"/>
      <c r="M246" s="375"/>
      <c r="N246" s="375"/>
      <c r="O246" s="375"/>
      <c r="P246" s="375"/>
      <c r="Q246" s="375"/>
      <c r="R246" s="375"/>
      <c r="S246" s="375"/>
      <c r="T246" s="375"/>
      <c r="U246" s="375"/>
      <c r="V246" s="375"/>
      <c r="W246" s="375"/>
      <c r="X246" s="375"/>
      <c r="Y246" s="375"/>
      <c r="Z246" s="375"/>
      <c r="AA246" s="375"/>
      <c r="AB246" s="375"/>
      <c r="AC246" s="399"/>
    </row>
    <row r="247" spans="1:29" s="362" customFormat="1" hidden="1" x14ac:dyDescent="0.25">
      <c r="A247" s="389"/>
      <c r="B247" s="372"/>
      <c r="C247" s="372"/>
      <c r="D247" s="372"/>
      <c r="E247" s="379"/>
      <c r="F247" s="380"/>
      <c r="G247" s="381"/>
      <c r="H247" s="421"/>
      <c r="I247" s="375"/>
      <c r="J247" s="375"/>
      <c r="K247" s="375"/>
      <c r="L247" s="375"/>
      <c r="M247" s="375"/>
      <c r="N247" s="431"/>
      <c r="O247" s="431"/>
      <c r="P247" s="431"/>
      <c r="Q247" s="431"/>
      <c r="R247" s="431"/>
      <c r="S247" s="431"/>
      <c r="T247" s="431"/>
      <c r="U247" s="431"/>
      <c r="V247" s="431"/>
      <c r="W247" s="431"/>
      <c r="X247" s="431"/>
      <c r="Y247" s="431"/>
      <c r="Z247" s="431"/>
      <c r="AA247" s="375"/>
      <c r="AB247" s="375"/>
      <c r="AC247" s="399"/>
    </row>
    <row r="248" spans="1:29" s="362" customFormat="1" hidden="1" x14ac:dyDescent="0.25">
      <c r="A248" s="389"/>
      <c r="B248" s="372"/>
      <c r="C248" s="372"/>
      <c r="D248" s="372"/>
      <c r="E248" s="379"/>
      <c r="F248" s="380"/>
      <c r="G248" s="381"/>
      <c r="H248" s="421"/>
      <c r="I248" s="375"/>
      <c r="J248" s="375"/>
      <c r="K248" s="375"/>
      <c r="L248" s="375"/>
      <c r="M248" s="375"/>
      <c r="N248" s="431"/>
      <c r="O248" s="431"/>
      <c r="P248" s="431"/>
      <c r="Q248" s="431"/>
      <c r="R248" s="431"/>
      <c r="S248" s="431"/>
      <c r="T248" s="431"/>
      <c r="U248" s="431"/>
      <c r="V248" s="431"/>
      <c r="W248" s="431"/>
      <c r="X248" s="431"/>
      <c r="Y248" s="431"/>
      <c r="Z248" s="431"/>
      <c r="AA248" s="375"/>
      <c r="AB248" s="375"/>
      <c r="AC248" s="399"/>
    </row>
    <row r="249" spans="1:29" s="362" customFormat="1" hidden="1" x14ac:dyDescent="0.25">
      <c r="A249" s="389"/>
      <c r="B249" s="372"/>
      <c r="C249" s="372"/>
      <c r="D249" s="372"/>
      <c r="E249" s="382"/>
      <c r="F249" s="383"/>
      <c r="G249" s="384"/>
      <c r="H249" s="421"/>
      <c r="I249" s="375"/>
      <c r="J249" s="375"/>
      <c r="K249" s="375"/>
      <c r="L249" s="375"/>
      <c r="M249" s="375"/>
      <c r="N249" s="375"/>
      <c r="O249" s="375"/>
      <c r="P249" s="375"/>
      <c r="Q249" s="375"/>
      <c r="R249" s="375"/>
      <c r="S249" s="375"/>
      <c r="T249" s="375"/>
      <c r="U249" s="375"/>
      <c r="V249" s="375"/>
      <c r="W249" s="375"/>
      <c r="X249" s="375"/>
      <c r="Y249" s="375"/>
      <c r="Z249" s="375"/>
      <c r="AA249" s="375"/>
      <c r="AB249" s="375"/>
      <c r="AC249" s="399"/>
    </row>
    <row r="250" spans="1:29" s="362" customFormat="1" hidden="1" x14ac:dyDescent="0.25">
      <c r="A250" s="389"/>
      <c r="B250" s="372"/>
      <c r="C250" s="372"/>
      <c r="D250" s="372"/>
      <c r="E250" s="382"/>
      <c r="F250" s="383"/>
      <c r="G250" s="384"/>
      <c r="H250" s="421"/>
      <c r="I250" s="375"/>
      <c r="J250" s="375"/>
      <c r="K250" s="375"/>
      <c r="L250" s="375"/>
      <c r="M250" s="375"/>
      <c r="N250" s="375"/>
      <c r="O250" s="375"/>
      <c r="P250" s="375"/>
      <c r="Q250" s="375"/>
      <c r="R250" s="375"/>
      <c r="S250" s="375"/>
      <c r="T250" s="375"/>
      <c r="U250" s="375"/>
      <c r="V250" s="375"/>
      <c r="W250" s="375"/>
      <c r="X250" s="375"/>
      <c r="Y250" s="375"/>
      <c r="Z250" s="375"/>
      <c r="AA250" s="375"/>
      <c r="AB250" s="375"/>
      <c r="AC250" s="399"/>
    </row>
    <row r="251" spans="1:29" s="362" customFormat="1" hidden="1" x14ac:dyDescent="0.25">
      <c r="A251" s="389"/>
      <c r="B251" s="372"/>
      <c r="C251" s="372"/>
      <c r="D251" s="372"/>
      <c r="E251" s="382"/>
      <c r="F251" s="383"/>
      <c r="G251" s="384"/>
      <c r="H251" s="421"/>
      <c r="I251" s="375"/>
      <c r="J251" s="375"/>
      <c r="K251" s="375"/>
      <c r="L251" s="375"/>
      <c r="M251" s="375"/>
      <c r="N251" s="431"/>
      <c r="O251" s="431"/>
      <c r="P251" s="431"/>
      <c r="Q251" s="431"/>
      <c r="R251" s="431"/>
      <c r="S251" s="431"/>
      <c r="T251" s="431"/>
      <c r="U251" s="431"/>
      <c r="V251" s="431"/>
      <c r="W251" s="431"/>
      <c r="X251" s="431"/>
      <c r="Y251" s="431"/>
      <c r="Z251" s="431"/>
      <c r="AA251" s="375"/>
      <c r="AB251" s="375"/>
      <c r="AC251" s="399"/>
    </row>
    <row r="252" spans="1:29" s="362" customFormat="1" hidden="1" x14ac:dyDescent="0.25">
      <c r="A252" s="389"/>
      <c r="B252" s="372"/>
      <c r="C252" s="372"/>
      <c r="D252" s="372"/>
      <c r="E252" s="382"/>
      <c r="F252" s="383"/>
      <c r="G252" s="384"/>
      <c r="H252" s="421"/>
      <c r="I252" s="375"/>
      <c r="J252" s="375"/>
      <c r="K252" s="375"/>
      <c r="L252" s="375"/>
      <c r="M252" s="375"/>
      <c r="N252" s="431"/>
      <c r="O252" s="431"/>
      <c r="P252" s="431"/>
      <c r="Q252" s="431"/>
      <c r="R252" s="431"/>
      <c r="S252" s="431"/>
      <c r="T252" s="431"/>
      <c r="U252" s="431"/>
      <c r="V252" s="431"/>
      <c r="W252" s="431"/>
      <c r="X252" s="431"/>
      <c r="Y252" s="431"/>
      <c r="Z252" s="431"/>
      <c r="AA252" s="375"/>
      <c r="AB252" s="375"/>
      <c r="AC252" s="399"/>
    </row>
    <row r="253" spans="1:29" s="362" customFormat="1" hidden="1" x14ac:dyDescent="0.25">
      <c r="A253" s="389"/>
      <c r="B253" s="372"/>
      <c r="C253" s="372"/>
      <c r="D253" s="372"/>
      <c r="E253" s="382"/>
      <c r="F253" s="383"/>
      <c r="G253" s="384"/>
      <c r="H253" s="421"/>
      <c r="I253" s="375"/>
      <c r="J253" s="375"/>
      <c r="K253" s="375"/>
      <c r="L253" s="375"/>
      <c r="M253" s="375"/>
      <c r="N253" s="431"/>
      <c r="O253" s="431"/>
      <c r="P253" s="431"/>
      <c r="Q253" s="431"/>
      <c r="R253" s="431"/>
      <c r="S253" s="431"/>
      <c r="T253" s="431"/>
      <c r="U253" s="431"/>
      <c r="V253" s="431"/>
      <c r="W253" s="431"/>
      <c r="X253" s="431"/>
      <c r="Y253" s="431"/>
      <c r="Z253" s="431"/>
      <c r="AA253" s="375"/>
      <c r="AB253" s="375"/>
      <c r="AC253" s="399"/>
    </row>
    <row r="254" spans="1:29" s="387" customFormat="1" hidden="1" x14ac:dyDescent="0.25">
      <c r="A254" s="410"/>
      <c r="B254" s="415"/>
      <c r="C254" s="415"/>
      <c r="D254" s="415"/>
      <c r="E254" s="417">
        <v>2005</v>
      </c>
      <c r="F254" s="417">
        <v>2010</v>
      </c>
      <c r="G254" s="417">
        <v>2020</v>
      </c>
      <c r="H254" s="417"/>
      <c r="I254" s="417"/>
      <c r="J254" s="417"/>
      <c r="K254" s="417"/>
      <c r="L254" s="417"/>
      <c r="M254" s="417"/>
      <c r="N254" s="417"/>
      <c r="O254" s="417"/>
      <c r="P254" s="417"/>
      <c r="Q254" s="417"/>
      <c r="R254" s="417"/>
      <c r="S254" s="417"/>
      <c r="T254" s="417"/>
      <c r="U254" s="417"/>
      <c r="V254" s="417"/>
      <c r="W254" s="417"/>
      <c r="X254" s="417"/>
      <c r="Y254" s="417"/>
      <c r="Z254" s="417"/>
      <c r="AA254" s="417"/>
      <c r="AB254" s="417"/>
      <c r="AC254" s="412"/>
    </row>
    <row r="255" spans="1:29" s="362" customFormat="1" x14ac:dyDescent="0.25">
      <c r="A255" s="418" t="s">
        <v>958</v>
      </c>
      <c r="B255" s="436" t="s">
        <v>26</v>
      </c>
      <c r="C255" s="437" t="s">
        <v>959</v>
      </c>
      <c r="D255" s="436" t="s">
        <v>1083</v>
      </c>
      <c r="E255" s="420">
        <v>121.29900000000001</v>
      </c>
      <c r="F255" s="420">
        <v>139.73400000000001</v>
      </c>
      <c r="G255" s="420">
        <v>143.77099999999999</v>
      </c>
      <c r="H255" s="421">
        <v>2020</v>
      </c>
      <c r="I255" s="421">
        <v>143.77099999999999</v>
      </c>
      <c r="J255" s="421">
        <v>2015</v>
      </c>
      <c r="K255" s="411">
        <v>133.85599999999999</v>
      </c>
      <c r="L255" s="421">
        <f>Table14[[#This Row],[Data reference value]]+Table14[[#This Row],[Data reference value]]*Table14[[#This Row],[Ambitious target improvement rate 2030]]</f>
        <v>71.885499999999993</v>
      </c>
      <c r="M255" s="421">
        <v>-0.5</v>
      </c>
      <c r="N255" s="421">
        <f>(Table14[[#This Row],[Ambitious target 2030]]-Table14[[#This Row],[Model reference value]])*0.5+Table14[[#This Row],[Model reference value]]</f>
        <v>102.87074999999999</v>
      </c>
      <c r="O255" s="421">
        <f>(Table14[[#This Row],[Ambitious target 2030]]-Table14[[#This Row],[Model reference value]])*0.25+Table14[[#This Row],[Model reference value]]</f>
        <v>118.36337499999999</v>
      </c>
      <c r="P255" s="421">
        <f>Table14[[#This Row],[Model reference value]]</f>
        <v>133.85599999999999</v>
      </c>
      <c r="Q255" s="421">
        <f>Table14[[#This Row],[Data reference value]]+Table14[[#This Row],[Data reference value]]*Table14[[#This Row],[Ambitious target improvement rate 2050]]</f>
        <v>43.131299999999996</v>
      </c>
      <c r="R255" s="421">
        <v>-0.7</v>
      </c>
      <c r="S255" s="421">
        <f>(Table14[[#This Row],[Ambitious target 2050]]-Table14[[#This Row],[Model reference value]])*0.5+Table14[[#This Row],[Model reference value]]</f>
        <v>88.493650000000002</v>
      </c>
      <c r="T255" s="421">
        <f>(Table14[[#This Row],[Ambitious target 2050]]-Table14[[#This Row],[Model reference value]])*0.25+Table14[[#This Row],[Model reference value]]</f>
        <v>111.174825</v>
      </c>
      <c r="U255" s="421">
        <f>Table14[[#This Row],[Worst value 2030]]</f>
        <v>133.85599999999999</v>
      </c>
      <c r="V255" s="421">
        <f>Table14[[#This Row],[Data reference value]]+Table14[[#This Row],[Data reference value]]*Table14[[#This Row],[Ambitious target improvement rate 2100]]</f>
        <v>0</v>
      </c>
      <c r="W255" s="421">
        <v>-1</v>
      </c>
      <c r="X255" s="421">
        <f>(Table14[[#This Row],[Ambitious target 2100]]-Table14[[#This Row],[Model reference value]])*0.5+Table14[[#This Row],[Model reference value]]</f>
        <v>66.927999999999997</v>
      </c>
      <c r="Y255" s="421">
        <f>(Table14[[#This Row],[Ambitious target 2100]]-Table14[[#This Row],[Model reference value]])*0.25+Table14[[#This Row],[Model reference value]]</f>
        <v>100.392</v>
      </c>
      <c r="Z255" s="421">
        <f>Table14[[#This Row],[Worst value 2030]]</f>
        <v>133.85599999999999</v>
      </c>
      <c r="AA255" s="421" t="s">
        <v>1140</v>
      </c>
      <c r="AB255" s="421" t="s">
        <v>1087</v>
      </c>
      <c r="AC255" s="419" t="s">
        <v>979</v>
      </c>
    </row>
    <row r="256" spans="1:29" s="362" customFormat="1" hidden="1" x14ac:dyDescent="0.25">
      <c r="A256" s="389"/>
      <c r="B256" s="372"/>
      <c r="C256" s="372"/>
      <c r="D256" s="372"/>
      <c r="E256" s="379"/>
      <c r="F256" s="380"/>
      <c r="G256" s="381"/>
      <c r="H256" s="421"/>
      <c r="I256" s="375"/>
      <c r="J256" s="375"/>
      <c r="K256" s="375"/>
      <c r="L256" s="375"/>
      <c r="M256" s="375"/>
      <c r="N256" s="375"/>
      <c r="O256" s="375"/>
      <c r="P256" s="375"/>
      <c r="Q256" s="375"/>
      <c r="R256" s="375"/>
      <c r="S256" s="375"/>
      <c r="T256" s="375"/>
      <c r="U256" s="375"/>
      <c r="V256" s="375"/>
      <c r="W256" s="375"/>
      <c r="X256" s="375"/>
      <c r="Y256" s="375"/>
      <c r="Z256" s="375"/>
      <c r="AA256" s="375"/>
      <c r="AB256" s="375"/>
      <c r="AC256" s="399"/>
    </row>
    <row r="257" spans="1:37" s="362" customFormat="1" hidden="1" x14ac:dyDescent="0.25">
      <c r="A257" s="389"/>
      <c r="B257" s="372"/>
      <c r="C257" s="372"/>
      <c r="D257" s="372"/>
      <c r="E257" s="379"/>
      <c r="F257" s="380"/>
      <c r="G257" s="381"/>
      <c r="H257" s="421"/>
      <c r="I257" s="375"/>
      <c r="J257" s="375"/>
      <c r="K257" s="375"/>
      <c r="L257" s="375"/>
      <c r="M257" s="375"/>
      <c r="N257" s="375"/>
      <c r="O257" s="375"/>
      <c r="P257" s="375"/>
      <c r="Q257" s="375"/>
      <c r="R257" s="375"/>
      <c r="S257" s="375"/>
      <c r="T257" s="375"/>
      <c r="U257" s="375"/>
      <c r="V257" s="375"/>
      <c r="W257" s="375"/>
      <c r="X257" s="375"/>
      <c r="Y257" s="375"/>
      <c r="Z257" s="375"/>
      <c r="AA257" s="375"/>
      <c r="AB257" s="375"/>
      <c r="AC257" s="399"/>
    </row>
    <row r="258" spans="1:37" s="362" customFormat="1" hidden="1" x14ac:dyDescent="0.25">
      <c r="A258" s="389"/>
      <c r="B258" s="372"/>
      <c r="C258" s="372"/>
      <c r="D258" s="372"/>
      <c r="E258" s="379"/>
      <c r="F258" s="380"/>
      <c r="G258" s="381"/>
      <c r="H258" s="421"/>
      <c r="I258" s="375"/>
      <c r="J258" s="375"/>
      <c r="K258" s="375"/>
      <c r="L258" s="375"/>
      <c r="M258" s="375"/>
      <c r="N258" s="375"/>
      <c r="O258" s="375"/>
      <c r="P258" s="375"/>
      <c r="Q258" s="375"/>
      <c r="R258" s="375"/>
      <c r="S258" s="375"/>
      <c r="T258" s="375"/>
      <c r="U258" s="375"/>
      <c r="V258" s="375"/>
      <c r="W258" s="375"/>
      <c r="X258" s="375"/>
      <c r="Y258" s="375"/>
      <c r="Z258" s="375"/>
      <c r="AA258" s="375"/>
      <c r="AB258" s="375"/>
      <c r="AC258" s="399"/>
    </row>
    <row r="259" spans="1:37" s="362" customFormat="1" hidden="1" x14ac:dyDescent="0.25">
      <c r="A259" s="389"/>
      <c r="B259" s="372"/>
      <c r="C259" s="372"/>
      <c r="D259" s="372"/>
      <c r="E259" s="379"/>
      <c r="F259" s="380"/>
      <c r="G259" s="381"/>
      <c r="H259" s="421"/>
      <c r="I259" s="375"/>
      <c r="J259" s="375"/>
      <c r="K259" s="375"/>
      <c r="L259" s="375"/>
      <c r="M259" s="375"/>
      <c r="N259" s="431"/>
      <c r="O259" s="431"/>
      <c r="P259" s="431"/>
      <c r="Q259" s="431"/>
      <c r="R259" s="431"/>
      <c r="S259" s="431"/>
      <c r="T259" s="431"/>
      <c r="U259" s="431"/>
      <c r="V259" s="431"/>
      <c r="W259" s="431"/>
      <c r="X259" s="431"/>
      <c r="Y259" s="431"/>
      <c r="Z259" s="431"/>
      <c r="AA259" s="375"/>
      <c r="AB259" s="375"/>
      <c r="AC259" s="399"/>
    </row>
    <row r="260" spans="1:37" s="362" customFormat="1" hidden="1" x14ac:dyDescent="0.25">
      <c r="A260" s="389"/>
      <c r="B260" s="372"/>
      <c r="C260" s="372"/>
      <c r="D260" s="372"/>
      <c r="E260" s="379"/>
      <c r="F260" s="380"/>
      <c r="G260" s="381"/>
      <c r="H260" s="421"/>
      <c r="I260" s="375"/>
      <c r="J260" s="375"/>
      <c r="K260" s="375"/>
      <c r="L260" s="375"/>
      <c r="M260" s="375"/>
      <c r="N260" s="431"/>
      <c r="O260" s="431"/>
      <c r="P260" s="431"/>
      <c r="Q260" s="431"/>
      <c r="R260" s="431"/>
      <c r="S260" s="431"/>
      <c r="T260" s="431"/>
      <c r="U260" s="431"/>
      <c r="V260" s="431"/>
      <c r="W260" s="431"/>
      <c r="X260" s="431"/>
      <c r="Y260" s="431"/>
      <c r="Z260" s="431"/>
      <c r="AA260" s="375"/>
      <c r="AB260" s="375"/>
      <c r="AC260" s="399"/>
    </row>
    <row r="261" spans="1:37" s="362" customFormat="1" hidden="1" x14ac:dyDescent="0.25">
      <c r="A261" s="389"/>
      <c r="B261" s="372"/>
      <c r="C261" s="372"/>
      <c r="D261" s="372"/>
      <c r="E261" s="382"/>
      <c r="F261" s="383"/>
      <c r="G261" s="384"/>
      <c r="H261" s="421"/>
      <c r="I261" s="375"/>
      <c r="J261" s="375"/>
      <c r="K261" s="375"/>
      <c r="L261" s="375"/>
      <c r="M261" s="375"/>
      <c r="N261" s="375"/>
      <c r="O261" s="375"/>
      <c r="P261" s="375"/>
      <c r="Q261" s="375"/>
      <c r="R261" s="375"/>
      <c r="S261" s="375"/>
      <c r="T261" s="375"/>
      <c r="U261" s="375"/>
      <c r="V261" s="375"/>
      <c r="W261" s="375"/>
      <c r="X261" s="375"/>
      <c r="Y261" s="375"/>
      <c r="Z261" s="375"/>
      <c r="AA261" s="375"/>
      <c r="AB261" s="375"/>
      <c r="AC261" s="399"/>
    </row>
    <row r="262" spans="1:37" s="362" customFormat="1" hidden="1" x14ac:dyDescent="0.25">
      <c r="A262" s="389"/>
      <c r="B262" s="372"/>
      <c r="C262" s="372"/>
      <c r="D262" s="372"/>
      <c r="E262" s="382"/>
      <c r="F262" s="383"/>
      <c r="G262" s="384"/>
      <c r="H262" s="421"/>
      <c r="I262" s="375"/>
      <c r="J262" s="375"/>
      <c r="K262" s="375"/>
      <c r="L262" s="375"/>
      <c r="M262" s="375"/>
      <c r="N262" s="375"/>
      <c r="O262" s="375"/>
      <c r="P262" s="375"/>
      <c r="Q262" s="375"/>
      <c r="R262" s="375"/>
      <c r="S262" s="375"/>
      <c r="T262" s="375"/>
      <c r="U262" s="375"/>
      <c r="V262" s="375"/>
      <c r="W262" s="375"/>
      <c r="X262" s="375"/>
      <c r="Y262" s="375"/>
      <c r="Z262" s="375"/>
      <c r="AA262" s="375"/>
      <c r="AB262" s="375"/>
      <c r="AC262" s="399"/>
    </row>
    <row r="263" spans="1:37" s="362" customFormat="1" hidden="1" x14ac:dyDescent="0.25">
      <c r="A263" s="389"/>
      <c r="B263" s="372"/>
      <c r="C263" s="372"/>
      <c r="D263" s="372"/>
      <c r="E263" s="382"/>
      <c r="F263" s="383"/>
      <c r="G263" s="384"/>
      <c r="H263" s="421"/>
      <c r="I263" s="375"/>
      <c r="J263" s="375"/>
      <c r="K263" s="375"/>
      <c r="L263" s="375"/>
      <c r="M263" s="375"/>
      <c r="N263" s="431"/>
      <c r="O263" s="431"/>
      <c r="P263" s="431"/>
      <c r="Q263" s="431"/>
      <c r="R263" s="431"/>
      <c r="S263" s="431"/>
      <c r="T263" s="431"/>
      <c r="U263" s="431"/>
      <c r="V263" s="431"/>
      <c r="W263" s="431"/>
      <c r="X263" s="431"/>
      <c r="Y263" s="431"/>
      <c r="Z263" s="431"/>
      <c r="AA263" s="375"/>
      <c r="AB263" s="375"/>
      <c r="AC263" s="399"/>
    </row>
    <row r="264" spans="1:37" s="362" customFormat="1" hidden="1" x14ac:dyDescent="0.25">
      <c r="A264" s="389"/>
      <c r="B264" s="372"/>
      <c r="C264" s="372"/>
      <c r="D264" s="372"/>
      <c r="E264" s="382"/>
      <c r="F264" s="383"/>
      <c r="G264" s="384"/>
      <c r="H264" s="421"/>
      <c r="I264" s="375"/>
      <c r="J264" s="375"/>
      <c r="K264" s="375"/>
      <c r="L264" s="375"/>
      <c r="M264" s="375"/>
      <c r="N264" s="431"/>
      <c r="O264" s="431"/>
      <c r="P264" s="431"/>
      <c r="Q264" s="431"/>
      <c r="R264" s="431"/>
      <c r="S264" s="431"/>
      <c r="T264" s="431"/>
      <c r="U264" s="431"/>
      <c r="V264" s="431"/>
      <c r="W264" s="431"/>
      <c r="X264" s="431"/>
      <c r="Y264" s="431"/>
      <c r="Z264" s="431"/>
      <c r="AA264" s="375"/>
      <c r="AB264" s="375"/>
      <c r="AC264" s="399"/>
    </row>
    <row r="265" spans="1:37" s="362" customFormat="1" hidden="1" x14ac:dyDescent="0.25">
      <c r="A265" s="389"/>
      <c r="B265" s="372"/>
      <c r="C265" s="372"/>
      <c r="D265" s="372"/>
      <c r="E265" s="382"/>
      <c r="F265" s="383"/>
      <c r="G265" s="384"/>
      <c r="H265" s="421"/>
      <c r="I265" s="375"/>
      <c r="J265" s="375"/>
      <c r="K265" s="375"/>
      <c r="L265" s="375"/>
      <c r="M265" s="375"/>
      <c r="N265" s="431"/>
      <c r="O265" s="431"/>
      <c r="P265" s="431"/>
      <c r="Q265" s="431"/>
      <c r="R265" s="431"/>
      <c r="S265" s="431"/>
      <c r="T265" s="431"/>
      <c r="U265" s="431"/>
      <c r="V265" s="431"/>
      <c r="W265" s="431"/>
      <c r="X265" s="431"/>
      <c r="Y265" s="431"/>
      <c r="Z265" s="431"/>
      <c r="AA265" s="375"/>
      <c r="AB265" s="375"/>
      <c r="AC265" s="399"/>
    </row>
    <row r="266" spans="1:37" s="386" customFormat="1" hidden="1" x14ac:dyDescent="0.25">
      <c r="A266" s="409"/>
      <c r="B266" s="406"/>
      <c r="C266" s="406"/>
      <c r="D266" s="406"/>
      <c r="E266" s="407">
        <v>2013</v>
      </c>
      <c r="F266" s="407">
        <v>2014</v>
      </c>
      <c r="G266" s="407">
        <v>2015</v>
      </c>
      <c r="H266" s="407"/>
      <c r="I266" s="407"/>
      <c r="J266" s="407"/>
      <c r="K266" s="407"/>
      <c r="L266" s="407"/>
      <c r="M266" s="407"/>
      <c r="N266" s="407"/>
      <c r="O266" s="407"/>
      <c r="P266" s="407"/>
      <c r="Q266" s="407"/>
      <c r="R266" s="407"/>
      <c r="S266" s="407"/>
      <c r="T266" s="407"/>
      <c r="U266" s="407"/>
      <c r="V266" s="407"/>
      <c r="W266" s="407"/>
      <c r="X266" s="407"/>
      <c r="Y266" s="407"/>
      <c r="Z266" s="407"/>
      <c r="AA266" s="407"/>
      <c r="AB266" s="407"/>
      <c r="AC266" s="413"/>
    </row>
    <row r="267" spans="1:37" x14ac:dyDescent="0.25">
      <c r="A267" s="418" t="s">
        <v>571</v>
      </c>
      <c r="B267" s="437" t="s">
        <v>1581</v>
      </c>
      <c r="C267" s="437" t="s">
        <v>843</v>
      </c>
      <c r="D267" s="436" t="s">
        <v>904</v>
      </c>
      <c r="E267" s="420">
        <v>5.488310501</v>
      </c>
      <c r="F267" s="420">
        <v>5.2860607750000002</v>
      </c>
      <c r="G267" s="420">
        <v>5.1313796829999996</v>
      </c>
      <c r="H267" s="421">
        <v>2015</v>
      </c>
      <c r="I267" s="421">
        <v>5.1313796829999996</v>
      </c>
      <c r="J267" s="421">
        <v>2015</v>
      </c>
      <c r="K267" s="411">
        <v>6.41913</v>
      </c>
      <c r="L267" s="421">
        <f>I267*0.75</f>
        <v>3.8485347622499999</v>
      </c>
      <c r="M267" s="421"/>
      <c r="N267" s="421">
        <f>(L267-K267)*0.5+K267</f>
        <v>5.133832381125</v>
      </c>
      <c r="O267" s="421">
        <f>(Table14[[#This Row],[Ambitious target 2030]]-Table14[[#This Row],[Model reference value]])*0.25+Table14[[#This Row],[Model reference value]]</f>
        <v>5.7764811905624995</v>
      </c>
      <c r="P267" s="421">
        <f>K267</f>
        <v>6.41913</v>
      </c>
      <c r="Q267" s="421">
        <f>I267*0.5</f>
        <v>2.5656898414999998</v>
      </c>
      <c r="R267" s="421"/>
      <c r="S267" s="421">
        <f>(Table14[[#This Row],[Ambitious target 2050]]-Table14[[#This Row],[Model reference value]])*0.5+Table14[[#This Row],[Model reference value]]</f>
        <v>4.4924099207500001</v>
      </c>
      <c r="T267" s="421">
        <f>(Table14[[#This Row],[Ambitious target 2050]]-Table14[[#This Row],[Model reference value]])*0.25+Table14[[#This Row],[Model reference value]]</f>
        <v>5.4557699603750001</v>
      </c>
      <c r="U267" s="421">
        <f>Table14[[#This Row],[Worst value 2030]]</f>
        <v>6.41913</v>
      </c>
      <c r="V267" s="421">
        <f>I267*0.2</f>
        <v>1.0262759366</v>
      </c>
      <c r="W267" s="421"/>
      <c r="X267" s="421">
        <f>(Table14[[#This Row],[Ambitious target 2100]]-Table14[[#This Row],[Model reference value]])*0.5+Table14[[#This Row],[Model reference value]]</f>
        <v>3.7227029683000001</v>
      </c>
      <c r="Y267" s="421">
        <f>(Table14[[#This Row],[Ambitious target 2100]]-Table14[[#This Row],[Model reference value]])*0.25+Table14[[#This Row],[Model reference value]]</f>
        <v>5.0709164841500005</v>
      </c>
      <c r="Z267" s="421">
        <f>Table14[[#This Row],[Worst value 2030]]</f>
        <v>6.41913</v>
      </c>
      <c r="AA267" s="421" t="s">
        <v>982</v>
      </c>
      <c r="AB267" s="421" t="s">
        <v>1167</v>
      </c>
      <c r="AC267" s="419" t="s">
        <v>839</v>
      </c>
      <c r="AD267" s="360"/>
      <c r="AE267" s="360"/>
      <c r="AF267" s="360"/>
      <c r="AG267" s="360"/>
      <c r="AH267" s="360"/>
      <c r="AI267" s="360"/>
      <c r="AJ267" s="360"/>
      <c r="AK267" s="360"/>
    </row>
    <row r="268" spans="1:37" hidden="1" x14ac:dyDescent="0.25">
      <c r="A268" s="390"/>
      <c r="B268" s="369"/>
      <c r="C268" s="369"/>
      <c r="D268" s="378" t="s">
        <v>712</v>
      </c>
      <c r="E268" s="379">
        <v>16.734988560000001</v>
      </c>
      <c r="F268" s="380">
        <v>16.582300740000001</v>
      </c>
      <c r="G268" s="381">
        <v>17.310574519999999</v>
      </c>
      <c r="H268" s="421"/>
      <c r="I268" s="375"/>
      <c r="J268" s="375"/>
      <c r="K268" s="375"/>
      <c r="L268" s="375"/>
      <c r="M268" s="375"/>
      <c r="N268" s="375"/>
      <c r="O268" s="375"/>
      <c r="P268" s="375"/>
      <c r="Q268" s="375"/>
      <c r="R268" s="375"/>
      <c r="S268" s="375"/>
      <c r="T268" s="375"/>
      <c r="U268" s="375"/>
      <c r="V268" s="375"/>
      <c r="W268" s="375"/>
      <c r="X268" s="375"/>
      <c r="Y268" s="375"/>
      <c r="Z268" s="375"/>
      <c r="AA268" s="375"/>
      <c r="AB268" s="375"/>
      <c r="AC268" s="396"/>
      <c r="AD268" s="360"/>
      <c r="AE268" s="360"/>
      <c r="AF268" s="360"/>
      <c r="AG268" s="360"/>
      <c r="AH268" s="360"/>
      <c r="AI268" s="360"/>
      <c r="AJ268" s="360"/>
      <c r="AK268" s="360"/>
    </row>
    <row r="269" spans="1:37" hidden="1" x14ac:dyDescent="0.25">
      <c r="A269" s="390"/>
      <c r="B269" s="369"/>
      <c r="C269" s="369"/>
      <c r="D269" s="378" t="s">
        <v>840</v>
      </c>
      <c r="E269" s="379">
        <v>11.89074847</v>
      </c>
      <c r="F269" s="380">
        <v>11.0696613</v>
      </c>
      <c r="G269" s="381">
        <v>9.9933753870000004</v>
      </c>
      <c r="H269" s="421"/>
      <c r="I269" s="375"/>
      <c r="J269" s="375"/>
      <c r="K269" s="375"/>
      <c r="L269" s="375"/>
      <c r="M269" s="375"/>
      <c r="N269" s="375"/>
      <c r="O269" s="375"/>
      <c r="P269" s="375"/>
      <c r="Q269" s="375"/>
      <c r="R269" s="375"/>
      <c r="S269" s="375"/>
      <c r="T269" s="375"/>
      <c r="U269" s="375"/>
      <c r="V269" s="375"/>
      <c r="W269" s="375"/>
      <c r="X269" s="375"/>
      <c r="Y269" s="375"/>
      <c r="Z269" s="375"/>
      <c r="AA269" s="375"/>
      <c r="AB269" s="375"/>
      <c r="AC269" s="396"/>
      <c r="AD269" s="360"/>
      <c r="AE269" s="360"/>
      <c r="AF269" s="360"/>
      <c r="AG269" s="360"/>
      <c r="AH269" s="360"/>
      <c r="AI269" s="360"/>
      <c r="AJ269" s="360"/>
      <c r="AK269" s="360"/>
    </row>
    <row r="270" spans="1:37" hidden="1" x14ac:dyDescent="0.25">
      <c r="A270" s="390"/>
      <c r="B270" s="369"/>
      <c r="C270" s="369"/>
      <c r="D270" s="378" t="s">
        <v>776</v>
      </c>
      <c r="E270" s="379">
        <v>8.8373241339999993</v>
      </c>
      <c r="F270" s="380">
        <v>9.0336274939999992</v>
      </c>
      <c r="G270" s="381">
        <v>8.6993253500000005</v>
      </c>
      <c r="H270" s="421"/>
      <c r="I270" s="375"/>
      <c r="J270" s="375"/>
      <c r="K270" s="375"/>
      <c r="L270" s="375"/>
      <c r="M270" s="375"/>
      <c r="N270" s="375"/>
      <c r="O270" s="375"/>
      <c r="P270" s="375"/>
      <c r="Q270" s="375"/>
      <c r="R270" s="375"/>
      <c r="S270" s="375"/>
      <c r="T270" s="375"/>
      <c r="U270" s="375"/>
      <c r="V270" s="375"/>
      <c r="W270" s="375"/>
      <c r="X270" s="375"/>
      <c r="Y270" s="375"/>
      <c r="Z270" s="375"/>
      <c r="AA270" s="375"/>
      <c r="AB270" s="375"/>
      <c r="AC270" s="396"/>
      <c r="AD270" s="360"/>
      <c r="AE270" s="360"/>
      <c r="AF270" s="360"/>
      <c r="AG270" s="360"/>
      <c r="AH270" s="360"/>
      <c r="AI270" s="360"/>
      <c r="AJ270" s="360"/>
      <c r="AK270" s="360"/>
    </row>
    <row r="271" spans="1:37" hidden="1" x14ac:dyDescent="0.25">
      <c r="A271" s="390"/>
      <c r="B271" s="369"/>
      <c r="C271" s="369"/>
      <c r="D271" s="378" t="s">
        <v>841</v>
      </c>
      <c r="E271" s="379">
        <v>8.4565370820000005</v>
      </c>
      <c r="F271" s="380">
        <v>8.3456060240000003</v>
      </c>
      <c r="G271" s="381">
        <v>8.4132177509999995</v>
      </c>
      <c r="H271" s="421"/>
      <c r="I271" s="375"/>
      <c r="J271" s="375"/>
      <c r="K271" s="375"/>
      <c r="L271" s="375"/>
      <c r="M271" s="375"/>
      <c r="N271" s="375"/>
      <c r="O271" s="375"/>
      <c r="P271" s="375"/>
      <c r="Q271" s="375"/>
      <c r="R271" s="375"/>
      <c r="S271" s="375"/>
      <c r="T271" s="375"/>
      <c r="U271" s="375"/>
      <c r="V271" s="375"/>
      <c r="W271" s="375"/>
      <c r="X271" s="375"/>
      <c r="Y271" s="375"/>
      <c r="Z271" s="375"/>
      <c r="AA271" s="375"/>
      <c r="AB271" s="375"/>
      <c r="AC271" s="396"/>
      <c r="AD271" s="360"/>
      <c r="AE271" s="360"/>
      <c r="AF271" s="360"/>
      <c r="AG271" s="360"/>
      <c r="AH271" s="360"/>
      <c r="AI271" s="360"/>
      <c r="AJ271" s="360"/>
      <c r="AK271" s="360"/>
    </row>
    <row r="272" spans="1:37" hidden="1" x14ac:dyDescent="0.25">
      <c r="A272" s="390"/>
      <c r="B272" s="369"/>
      <c r="C272" s="369"/>
      <c r="D272" s="378" t="s">
        <v>842</v>
      </c>
      <c r="E272" s="379">
        <v>7.9524161830000004</v>
      </c>
      <c r="F272" s="380">
        <v>8.1606778260000006</v>
      </c>
      <c r="G272" s="381">
        <v>8.3922668569999992</v>
      </c>
      <c r="H272" s="421"/>
      <c r="I272" s="375"/>
      <c r="J272" s="375"/>
      <c r="K272" s="375"/>
      <c r="L272" s="375"/>
      <c r="M272" s="375"/>
      <c r="N272" s="375"/>
      <c r="O272" s="375"/>
      <c r="P272" s="375"/>
      <c r="Q272" s="375"/>
      <c r="R272" s="375"/>
      <c r="S272" s="375"/>
      <c r="T272" s="375"/>
      <c r="U272" s="375"/>
      <c r="V272" s="375"/>
      <c r="W272" s="375"/>
      <c r="X272" s="375"/>
      <c r="Y272" s="375"/>
      <c r="Z272" s="375"/>
      <c r="AA272" s="375"/>
      <c r="AB272" s="375"/>
      <c r="AC272" s="396"/>
      <c r="AD272" s="360"/>
      <c r="AE272" s="360"/>
      <c r="AF272" s="360"/>
      <c r="AG272" s="360"/>
      <c r="AH272" s="360"/>
      <c r="AI272" s="360"/>
      <c r="AJ272" s="360"/>
      <c r="AK272" s="360"/>
    </row>
    <row r="273" spans="1:37" hidden="1" x14ac:dyDescent="0.25">
      <c r="A273" s="390"/>
      <c r="B273" s="369"/>
      <c r="C273" s="369"/>
      <c r="D273" s="378" t="s">
        <v>708</v>
      </c>
      <c r="E273" s="382">
        <v>1.573636727</v>
      </c>
      <c r="F273" s="383">
        <v>1.5536858140000001</v>
      </c>
      <c r="G273" s="384">
        <v>1.488085793</v>
      </c>
      <c r="H273" s="421"/>
      <c r="I273" s="375"/>
      <c r="J273" s="375"/>
      <c r="K273" s="375"/>
      <c r="L273" s="375"/>
      <c r="M273" s="375"/>
      <c r="N273" s="375"/>
      <c r="O273" s="375"/>
      <c r="P273" s="375"/>
      <c r="Q273" s="375"/>
      <c r="R273" s="375"/>
      <c r="S273" s="375"/>
      <c r="T273" s="375"/>
      <c r="U273" s="375"/>
      <c r="V273" s="375"/>
      <c r="W273" s="375"/>
      <c r="X273" s="375"/>
      <c r="Y273" s="375"/>
      <c r="Z273" s="375"/>
      <c r="AA273" s="375"/>
      <c r="AB273" s="375"/>
      <c r="AC273" s="396"/>
      <c r="AD273" s="360"/>
      <c r="AE273" s="360"/>
      <c r="AF273" s="360"/>
      <c r="AG273" s="360"/>
      <c r="AH273" s="360"/>
      <c r="AI273" s="360"/>
      <c r="AJ273" s="360"/>
      <c r="AK273" s="360"/>
    </row>
    <row r="274" spans="1:37" hidden="1" x14ac:dyDescent="0.25">
      <c r="A274" s="390"/>
      <c r="B274" s="369"/>
      <c r="C274" s="369"/>
      <c r="D274" s="378" t="s">
        <v>681</v>
      </c>
      <c r="E274" s="382">
        <v>2.5662079969999998</v>
      </c>
      <c r="F274" s="383">
        <v>2.3651286439999999</v>
      </c>
      <c r="G274" s="384">
        <v>1.94829341</v>
      </c>
      <c r="H274" s="421"/>
      <c r="I274" s="375"/>
      <c r="J274" s="375"/>
      <c r="K274" s="375"/>
      <c r="L274" s="375"/>
      <c r="M274" s="375"/>
      <c r="N274" s="375"/>
      <c r="O274" s="375"/>
      <c r="P274" s="375"/>
      <c r="Q274" s="375"/>
      <c r="R274" s="375"/>
      <c r="S274" s="375"/>
      <c r="T274" s="375"/>
      <c r="U274" s="375"/>
      <c r="V274" s="375"/>
      <c r="W274" s="375"/>
      <c r="X274" s="375"/>
      <c r="Y274" s="375"/>
      <c r="Z274" s="375"/>
      <c r="AA274" s="375"/>
      <c r="AB274" s="375"/>
      <c r="AC274" s="396"/>
      <c r="AD274" s="360"/>
      <c r="AE274" s="360"/>
      <c r="AF274" s="360"/>
      <c r="AG274" s="360"/>
      <c r="AH274" s="360"/>
      <c r="AI274" s="360"/>
      <c r="AJ274" s="360"/>
      <c r="AK274" s="360"/>
    </row>
    <row r="275" spans="1:37" hidden="1" x14ac:dyDescent="0.25">
      <c r="A275" s="390"/>
      <c r="B275" s="369"/>
      <c r="C275" s="369"/>
      <c r="D275" s="378" t="s">
        <v>844</v>
      </c>
      <c r="E275" s="382">
        <v>1.9929817830000001</v>
      </c>
      <c r="F275" s="383">
        <v>2.0328378420000002</v>
      </c>
      <c r="G275" s="384">
        <v>2.0641317899999998</v>
      </c>
      <c r="H275" s="421"/>
      <c r="I275" s="375"/>
      <c r="J275" s="375"/>
      <c r="K275" s="375"/>
      <c r="L275" s="375"/>
      <c r="M275" s="375"/>
      <c r="N275" s="375"/>
      <c r="O275" s="375"/>
      <c r="P275" s="375"/>
      <c r="Q275" s="375"/>
      <c r="R275" s="375"/>
      <c r="S275" s="375"/>
      <c r="T275" s="375"/>
      <c r="U275" s="375"/>
      <c r="V275" s="375"/>
      <c r="W275" s="375"/>
      <c r="X275" s="375"/>
      <c r="Y275" s="375"/>
      <c r="Z275" s="375"/>
      <c r="AA275" s="375"/>
      <c r="AB275" s="375"/>
      <c r="AC275" s="396"/>
      <c r="AD275" s="360"/>
      <c r="AE275" s="360"/>
      <c r="AF275" s="360"/>
      <c r="AG275" s="360"/>
      <c r="AH275" s="360"/>
      <c r="AI275" s="360"/>
      <c r="AJ275" s="360"/>
      <c r="AK275" s="360"/>
    </row>
    <row r="276" spans="1:37" hidden="1" x14ac:dyDescent="0.25">
      <c r="A276" s="390"/>
      <c r="B276" s="369"/>
      <c r="C276" s="369"/>
      <c r="D276" s="378" t="s">
        <v>845</v>
      </c>
      <c r="E276" s="382">
        <v>2.1300609690000001</v>
      </c>
      <c r="F276" s="383">
        <v>2.1336234599999999</v>
      </c>
      <c r="G276" s="384">
        <v>2.1072221440000001</v>
      </c>
      <c r="H276" s="421"/>
      <c r="I276" s="375"/>
      <c r="J276" s="375"/>
      <c r="K276" s="375"/>
      <c r="L276" s="375"/>
      <c r="M276" s="375"/>
      <c r="N276" s="375"/>
      <c r="O276" s="375"/>
      <c r="P276" s="375"/>
      <c r="Q276" s="375"/>
      <c r="R276" s="375"/>
      <c r="S276" s="375"/>
      <c r="T276" s="375"/>
      <c r="U276" s="375"/>
      <c r="V276" s="375"/>
      <c r="W276" s="375"/>
      <c r="X276" s="375"/>
      <c r="Y276" s="375"/>
      <c r="Z276" s="375"/>
      <c r="AA276" s="375"/>
      <c r="AB276" s="375"/>
      <c r="AC276" s="396"/>
      <c r="AD276" s="360"/>
      <c r="AE276" s="360"/>
      <c r="AF276" s="360"/>
      <c r="AG276" s="360"/>
      <c r="AH276" s="360"/>
      <c r="AI276" s="360"/>
      <c r="AJ276" s="360"/>
      <c r="AK276" s="360"/>
    </row>
    <row r="277" spans="1:37" hidden="1" x14ac:dyDescent="0.25">
      <c r="A277" s="390"/>
      <c r="B277" s="369"/>
      <c r="C277" s="369"/>
      <c r="D277" s="378" t="s">
        <v>700</v>
      </c>
      <c r="E277" s="382">
        <v>2.5192469700000002</v>
      </c>
      <c r="F277" s="383">
        <v>2.2604591460000001</v>
      </c>
      <c r="G277" s="384">
        <v>2.194576273</v>
      </c>
      <c r="H277" s="421"/>
      <c r="I277" s="375"/>
      <c r="J277" s="375"/>
      <c r="K277" s="375"/>
      <c r="L277" s="375"/>
      <c r="M277" s="375"/>
      <c r="N277" s="375"/>
      <c r="O277" s="375"/>
      <c r="P277" s="375"/>
      <c r="Q277" s="375"/>
      <c r="R277" s="375"/>
      <c r="S277" s="375"/>
      <c r="T277" s="375"/>
      <c r="U277" s="375"/>
      <c r="V277" s="375"/>
      <c r="W277" s="375"/>
      <c r="X277" s="375"/>
      <c r="Y277" s="375"/>
      <c r="Z277" s="375"/>
      <c r="AA277" s="375"/>
      <c r="AB277" s="375"/>
      <c r="AC277" s="396"/>
      <c r="AD277" s="360"/>
      <c r="AE277" s="360"/>
      <c r="AF277" s="360"/>
      <c r="AG277" s="360"/>
      <c r="AH277" s="360"/>
      <c r="AI277" s="360"/>
      <c r="AJ277" s="360"/>
      <c r="AK277" s="360"/>
    </row>
    <row r="278" spans="1:37" s="386" customFormat="1" hidden="1" x14ac:dyDescent="0.25">
      <c r="A278" s="409"/>
      <c r="B278" s="406"/>
      <c r="C278" s="406"/>
      <c r="D278" s="406"/>
      <c r="E278" s="407">
        <v>2016</v>
      </c>
      <c r="F278" s="407">
        <v>2017</v>
      </c>
      <c r="G278" s="407">
        <v>2018</v>
      </c>
      <c r="H278" s="407"/>
      <c r="I278" s="407"/>
      <c r="J278" s="407"/>
      <c r="K278" s="407"/>
      <c r="L278" s="407"/>
      <c r="M278" s="407"/>
      <c r="N278" s="407"/>
      <c r="O278" s="407"/>
      <c r="P278" s="407"/>
      <c r="Q278" s="407"/>
      <c r="R278" s="407"/>
      <c r="S278" s="407"/>
      <c r="T278" s="407"/>
      <c r="U278" s="407"/>
      <c r="V278" s="407"/>
      <c r="W278" s="407"/>
      <c r="X278" s="407"/>
      <c r="Y278" s="407"/>
      <c r="Z278" s="407"/>
      <c r="AA278" s="407"/>
      <c r="AB278" s="407"/>
      <c r="AC278" s="413"/>
    </row>
    <row r="279" spans="1:37" x14ac:dyDescent="0.25">
      <c r="A279" s="418" t="s">
        <v>527</v>
      </c>
      <c r="B279" s="437" t="s">
        <v>1582</v>
      </c>
      <c r="C279" s="437" t="s">
        <v>582</v>
      </c>
      <c r="D279" s="436" t="s">
        <v>904</v>
      </c>
      <c r="E279" s="420">
        <v>10.2580066199183</v>
      </c>
      <c r="F279" s="420">
        <v>10.780813151679199</v>
      </c>
      <c r="G279" s="420">
        <v>11.317270582730499</v>
      </c>
      <c r="H279" s="421">
        <v>2016</v>
      </c>
      <c r="I279" s="421">
        <v>10.2580066199183</v>
      </c>
      <c r="J279" s="421">
        <v>2015</v>
      </c>
      <c r="K279" s="411">
        <v>10.837199999999999</v>
      </c>
      <c r="L279" s="421">
        <v>22.98</v>
      </c>
      <c r="M279" s="421"/>
      <c r="N279" s="421">
        <f>(L279-K279)*0.5+K279</f>
        <v>16.9086</v>
      </c>
      <c r="O279" s="421">
        <f>(Table14[[#This Row],[Ambitious target 2030]]-Table14[[#This Row],[Model reference value]])*0.25+Table14[[#This Row],[Model reference value]]</f>
        <v>13.8729</v>
      </c>
      <c r="P279" s="421">
        <f>K279</f>
        <v>10.837199999999999</v>
      </c>
      <c r="Q279" s="421">
        <v>42.511000000000003</v>
      </c>
      <c r="R279" s="421"/>
      <c r="S279" s="421">
        <f>(Table14[[#This Row],[Ambitious target 2050]]-Table14[[#This Row],[Model reference value]])*0.5+Table14[[#This Row],[Model reference value]]</f>
        <v>26.674100000000003</v>
      </c>
      <c r="T279" s="421">
        <f>(Table14[[#This Row],[Ambitious target 2050]]-Table14[[#This Row],[Model reference value]])*0.25+Table14[[#This Row],[Model reference value]]</f>
        <v>18.755649999999999</v>
      </c>
      <c r="U279" s="421">
        <f>Table14[[#This Row],[Worst value 2030]]</f>
        <v>10.837199999999999</v>
      </c>
      <c r="V279" s="421">
        <v>139.797</v>
      </c>
      <c r="W279" s="421"/>
      <c r="X279" s="421">
        <f>(Table14[[#This Row],[Ambitious target 2100]]-Table14[[#This Row],[Model reference value]])*0.5+Table14[[#This Row],[Model reference value]]</f>
        <v>75.317099999999996</v>
      </c>
      <c r="Y279" s="421">
        <f>(Table14[[#This Row],[Ambitious target 2100]]-Table14[[#This Row],[Model reference value]])*0.25+Table14[[#This Row],[Model reference value]]</f>
        <v>43.077150000000003</v>
      </c>
      <c r="Z279" s="421">
        <f>Table14[[#This Row],[Worst value 2030]]</f>
        <v>10.837199999999999</v>
      </c>
      <c r="AA279" s="421" t="s">
        <v>982</v>
      </c>
      <c r="AB279" s="421" t="s">
        <v>1177</v>
      </c>
      <c r="AC279" s="419" t="s">
        <v>698</v>
      </c>
      <c r="AD279" s="360"/>
      <c r="AE279" s="360"/>
      <c r="AF279" s="360"/>
      <c r="AG279" s="360"/>
      <c r="AH279" s="360"/>
      <c r="AI279" s="360"/>
      <c r="AJ279" s="360"/>
      <c r="AK279" s="360"/>
    </row>
    <row r="280" spans="1:37" hidden="1" x14ac:dyDescent="0.25">
      <c r="A280" s="390"/>
      <c r="B280" s="369"/>
      <c r="C280" s="369"/>
      <c r="D280" s="369" t="s">
        <v>699</v>
      </c>
      <c r="E280" s="379">
        <v>104.278390971905</v>
      </c>
      <c r="F280" s="380">
        <v>107.361306947271</v>
      </c>
      <c r="G280" s="381">
        <v>116.59729563795399</v>
      </c>
      <c r="H280" s="421"/>
      <c r="I280" s="375"/>
      <c r="J280" s="375"/>
      <c r="K280" s="375"/>
      <c r="L280" s="375"/>
      <c r="M280" s="375"/>
      <c r="N280" s="375"/>
      <c r="O280" s="375"/>
      <c r="P280" s="375"/>
      <c r="Q280" s="375"/>
      <c r="R280" s="375"/>
      <c r="S280" s="375"/>
      <c r="T280" s="375"/>
      <c r="U280" s="375"/>
      <c r="V280" s="375"/>
      <c r="W280" s="375"/>
      <c r="X280" s="375"/>
      <c r="Y280" s="375"/>
      <c r="Z280" s="375"/>
      <c r="AA280" s="375"/>
      <c r="AB280" s="375"/>
      <c r="AC280" s="396"/>
      <c r="AD280" s="360"/>
      <c r="AE280" s="360"/>
      <c r="AF280" s="360"/>
      <c r="AG280" s="360"/>
      <c r="AH280" s="360"/>
      <c r="AI280" s="360"/>
      <c r="AJ280" s="360"/>
      <c r="AK280" s="360"/>
    </row>
    <row r="281" spans="1:37" hidden="1" x14ac:dyDescent="0.25">
      <c r="A281" s="390"/>
      <c r="B281" s="369"/>
      <c r="C281" s="369"/>
      <c r="D281" s="369" t="s">
        <v>700</v>
      </c>
      <c r="E281" s="379">
        <v>80.172193303926605</v>
      </c>
      <c r="F281" s="380">
        <v>80.450045819741291</v>
      </c>
      <c r="G281" s="381">
        <v>82.828797372173</v>
      </c>
      <c r="H281" s="421"/>
      <c r="I281" s="375"/>
      <c r="J281" s="375"/>
      <c r="K281" s="375"/>
      <c r="L281" s="375"/>
      <c r="M281" s="375"/>
      <c r="N281" s="375"/>
      <c r="O281" s="375"/>
      <c r="P281" s="375"/>
      <c r="Q281" s="375"/>
      <c r="R281" s="375"/>
      <c r="S281" s="375"/>
      <c r="T281" s="375"/>
      <c r="U281" s="375"/>
      <c r="V281" s="375"/>
      <c r="W281" s="375"/>
      <c r="X281" s="375"/>
      <c r="Y281" s="375"/>
      <c r="Z281" s="375"/>
      <c r="AA281" s="375"/>
      <c r="AB281" s="375"/>
      <c r="AC281" s="396"/>
      <c r="AD281" s="360"/>
      <c r="AE281" s="360"/>
      <c r="AF281" s="360"/>
      <c r="AG281" s="360"/>
      <c r="AH281" s="360"/>
      <c r="AI281" s="360"/>
      <c r="AJ281" s="360"/>
      <c r="AK281" s="360"/>
    </row>
    <row r="282" spans="1:37" hidden="1" x14ac:dyDescent="0.25">
      <c r="A282" s="390"/>
      <c r="B282" s="369"/>
      <c r="C282" s="369"/>
      <c r="D282" s="369" t="s">
        <v>701</v>
      </c>
      <c r="E282" s="379">
        <v>57.1630609918357</v>
      </c>
      <c r="F282" s="380">
        <v>61.264396477797895</v>
      </c>
      <c r="G282" s="381">
        <v>68.793784437261408</v>
      </c>
      <c r="H282" s="421"/>
      <c r="I282" s="375"/>
      <c r="J282" s="375"/>
      <c r="K282" s="375"/>
      <c r="L282" s="375"/>
      <c r="M282" s="375"/>
      <c r="N282" s="375"/>
      <c r="O282" s="375"/>
      <c r="P282" s="375"/>
      <c r="Q282" s="375"/>
      <c r="R282" s="375"/>
      <c r="S282" s="375"/>
      <c r="T282" s="375"/>
      <c r="U282" s="375"/>
      <c r="V282" s="375"/>
      <c r="W282" s="375"/>
      <c r="X282" s="375"/>
      <c r="Y282" s="375"/>
      <c r="Z282" s="375"/>
      <c r="AA282" s="375"/>
      <c r="AB282" s="375"/>
      <c r="AC282" s="396"/>
      <c r="AD282" s="360"/>
      <c r="AE282" s="360"/>
      <c r="AF282" s="360"/>
      <c r="AG282" s="360"/>
      <c r="AH282" s="360"/>
      <c r="AI282" s="360"/>
      <c r="AJ282" s="360"/>
      <c r="AK282" s="360"/>
    </row>
    <row r="283" spans="1:37" hidden="1" x14ac:dyDescent="0.25">
      <c r="A283" s="390"/>
      <c r="B283" s="369"/>
      <c r="C283" s="369"/>
      <c r="D283" s="369" t="s">
        <v>702</v>
      </c>
      <c r="E283" s="379">
        <v>56.724170385886296</v>
      </c>
      <c r="F283" s="380">
        <v>60.2977937806208</v>
      </c>
      <c r="G283" s="381">
        <v>64.581944018395404</v>
      </c>
      <c r="H283" s="421"/>
      <c r="I283" s="375"/>
      <c r="J283" s="375"/>
      <c r="K283" s="375"/>
      <c r="L283" s="375"/>
      <c r="M283" s="375"/>
      <c r="N283" s="375"/>
      <c r="O283" s="375"/>
      <c r="P283" s="375"/>
      <c r="Q283" s="375"/>
      <c r="R283" s="375"/>
      <c r="S283" s="375"/>
      <c r="T283" s="375"/>
      <c r="U283" s="375"/>
      <c r="V283" s="375"/>
      <c r="W283" s="375"/>
      <c r="X283" s="375"/>
      <c r="Y283" s="375"/>
      <c r="Z283" s="375"/>
      <c r="AA283" s="375"/>
      <c r="AB283" s="375"/>
      <c r="AC283" s="396"/>
      <c r="AD283" s="360"/>
      <c r="AE283" s="360"/>
      <c r="AF283" s="360"/>
      <c r="AG283" s="360"/>
      <c r="AH283" s="360"/>
      <c r="AI283" s="360"/>
      <c r="AJ283" s="360"/>
      <c r="AK283" s="360"/>
    </row>
    <row r="284" spans="1:37" hidden="1" x14ac:dyDescent="0.25">
      <c r="A284" s="390"/>
      <c r="B284" s="369"/>
      <c r="C284" s="369"/>
      <c r="D284" s="369" t="s">
        <v>703</v>
      </c>
      <c r="E284" s="379">
        <v>57.927516851506205</v>
      </c>
      <c r="F284" s="380">
        <v>59.957725851303202</v>
      </c>
      <c r="G284" s="381">
        <v>62.8868364845599</v>
      </c>
      <c r="H284" s="421"/>
      <c r="I284" s="375"/>
      <c r="J284" s="375"/>
      <c r="K284" s="375"/>
      <c r="L284" s="375"/>
      <c r="M284" s="375"/>
      <c r="N284" s="375"/>
      <c r="O284" s="375"/>
      <c r="P284" s="375"/>
      <c r="Q284" s="375"/>
      <c r="R284" s="375"/>
      <c r="S284" s="375"/>
      <c r="T284" s="375"/>
      <c r="U284" s="375"/>
      <c r="V284" s="375"/>
      <c r="W284" s="375"/>
      <c r="X284" s="375"/>
      <c r="Y284" s="375"/>
      <c r="Z284" s="375"/>
      <c r="AA284" s="375"/>
      <c r="AB284" s="375"/>
      <c r="AC284" s="396"/>
      <c r="AD284" s="360"/>
      <c r="AE284" s="360"/>
      <c r="AF284" s="360"/>
      <c r="AG284" s="360"/>
      <c r="AH284" s="360"/>
      <c r="AI284" s="360"/>
      <c r="AJ284" s="360"/>
      <c r="AK284" s="360"/>
    </row>
    <row r="285" spans="1:37" hidden="1" x14ac:dyDescent="0.25">
      <c r="A285" s="390"/>
      <c r="B285" s="369"/>
      <c r="C285" s="369"/>
      <c r="D285" s="369" t="s">
        <v>683</v>
      </c>
      <c r="E285" s="382">
        <v>0.29596785164512701</v>
      </c>
      <c r="F285" s="383">
        <v>0.30905535477005602</v>
      </c>
      <c r="G285" s="384">
        <v>0.31454416567076299</v>
      </c>
      <c r="H285" s="421"/>
      <c r="I285" s="375"/>
      <c r="J285" s="375"/>
      <c r="K285" s="375"/>
      <c r="L285" s="375"/>
      <c r="M285" s="375"/>
      <c r="N285" s="375"/>
      <c r="O285" s="375"/>
      <c r="P285" s="375"/>
      <c r="Q285" s="375"/>
      <c r="R285" s="375"/>
      <c r="S285" s="375"/>
      <c r="T285" s="375"/>
      <c r="U285" s="375"/>
      <c r="V285" s="375"/>
      <c r="W285" s="375"/>
      <c r="X285" s="375"/>
      <c r="Y285" s="375"/>
      <c r="Z285" s="375"/>
      <c r="AA285" s="375"/>
      <c r="AB285" s="375"/>
      <c r="AC285" s="396"/>
      <c r="AD285" s="360"/>
      <c r="AE285" s="360"/>
      <c r="AF285" s="360"/>
      <c r="AG285" s="360"/>
      <c r="AH285" s="360"/>
      <c r="AI285" s="360"/>
      <c r="AJ285" s="360"/>
      <c r="AK285" s="360"/>
    </row>
    <row r="286" spans="1:37" hidden="1" x14ac:dyDescent="0.25">
      <c r="A286" s="390"/>
      <c r="B286" s="369"/>
      <c r="C286" s="369"/>
      <c r="D286" s="369" t="s">
        <v>676</v>
      </c>
      <c r="E286" s="382">
        <v>0.36213113227433397</v>
      </c>
      <c r="F286" s="383">
        <v>0.37586948967352202</v>
      </c>
      <c r="G286" s="384">
        <v>0.41398030496208899</v>
      </c>
      <c r="H286" s="421"/>
      <c r="I286" s="375"/>
      <c r="J286" s="375"/>
      <c r="K286" s="375"/>
      <c r="L286" s="375"/>
      <c r="M286" s="375"/>
      <c r="N286" s="375"/>
      <c r="O286" s="375"/>
      <c r="P286" s="375"/>
      <c r="Q286" s="375"/>
      <c r="R286" s="375"/>
      <c r="S286" s="375"/>
      <c r="T286" s="375"/>
      <c r="U286" s="375"/>
      <c r="V286" s="375"/>
      <c r="W286" s="375"/>
      <c r="X286" s="375"/>
      <c r="Y286" s="375"/>
      <c r="Z286" s="375"/>
      <c r="AA286" s="375"/>
      <c r="AB286" s="375"/>
      <c r="AC286" s="396"/>
      <c r="AD286" s="360"/>
      <c r="AE286" s="360"/>
      <c r="AF286" s="360"/>
      <c r="AG286" s="360"/>
      <c r="AH286" s="360"/>
      <c r="AI286" s="360"/>
      <c r="AJ286" s="360"/>
      <c r="AK286" s="360"/>
    </row>
    <row r="287" spans="1:37" hidden="1" x14ac:dyDescent="0.25">
      <c r="A287" s="390"/>
      <c r="B287" s="369"/>
      <c r="C287" s="369"/>
      <c r="D287" s="369" t="s">
        <v>704</v>
      </c>
      <c r="E287" s="382">
        <v>0.54722811015036299</v>
      </c>
      <c r="F287" s="383">
        <v>0.55630213850850807</v>
      </c>
      <c r="G287" s="384">
        <v>0.52089660271913496</v>
      </c>
      <c r="H287" s="421"/>
      <c r="I287" s="375"/>
      <c r="J287" s="375"/>
      <c r="K287" s="375"/>
      <c r="L287" s="375"/>
      <c r="M287" s="375"/>
      <c r="N287" s="375"/>
      <c r="O287" s="375"/>
      <c r="P287" s="375"/>
      <c r="Q287" s="375"/>
      <c r="R287" s="375"/>
      <c r="S287" s="375"/>
      <c r="T287" s="375"/>
      <c r="U287" s="375"/>
      <c r="V287" s="375"/>
      <c r="W287" s="375"/>
      <c r="X287" s="375"/>
      <c r="Y287" s="375"/>
      <c r="Z287" s="375"/>
      <c r="AA287" s="375"/>
      <c r="AB287" s="375"/>
      <c r="AC287" s="396"/>
      <c r="AD287" s="360"/>
      <c r="AE287" s="360"/>
      <c r="AF287" s="360"/>
      <c r="AG287" s="360"/>
      <c r="AH287" s="360"/>
      <c r="AI287" s="360"/>
      <c r="AJ287" s="360"/>
      <c r="AK287" s="360"/>
    </row>
    <row r="288" spans="1:37" hidden="1" x14ac:dyDescent="0.25">
      <c r="A288" s="390"/>
      <c r="B288" s="369"/>
      <c r="C288" s="369"/>
      <c r="D288" s="369" t="s">
        <v>705</v>
      </c>
      <c r="E288" s="382">
        <v>0.50141571285783193</v>
      </c>
      <c r="F288" s="383">
        <v>0.49938070781976002</v>
      </c>
      <c r="G288" s="384">
        <v>0.53399118425893599</v>
      </c>
      <c r="H288" s="421"/>
      <c r="I288" s="375"/>
      <c r="J288" s="375"/>
      <c r="K288" s="375"/>
      <c r="L288" s="375"/>
      <c r="M288" s="375"/>
      <c r="N288" s="375"/>
      <c r="O288" s="375"/>
      <c r="P288" s="375"/>
      <c r="Q288" s="375"/>
      <c r="R288" s="375"/>
      <c r="S288" s="375"/>
      <c r="T288" s="375"/>
      <c r="U288" s="375"/>
      <c r="V288" s="375"/>
      <c r="W288" s="375"/>
      <c r="X288" s="375"/>
      <c r="Y288" s="375"/>
      <c r="Z288" s="375"/>
      <c r="AA288" s="375"/>
      <c r="AB288" s="375"/>
      <c r="AC288" s="396"/>
      <c r="AD288" s="360"/>
      <c r="AE288" s="360"/>
      <c r="AF288" s="360"/>
      <c r="AG288" s="360"/>
      <c r="AH288" s="360"/>
      <c r="AI288" s="360"/>
      <c r="AJ288" s="360"/>
      <c r="AK288" s="360"/>
    </row>
    <row r="289" spans="1:37" hidden="1" x14ac:dyDescent="0.25">
      <c r="A289" s="390"/>
      <c r="B289" s="369"/>
      <c r="C289" s="369"/>
      <c r="D289" s="369" t="s">
        <v>706</v>
      </c>
      <c r="E289" s="382">
        <v>0.47131884040957195</v>
      </c>
      <c r="F289" s="383">
        <v>0.46707423746489002</v>
      </c>
      <c r="G289" s="384">
        <v>0.56177718239042496</v>
      </c>
      <c r="H289" s="421"/>
      <c r="I289" s="375"/>
      <c r="J289" s="375"/>
      <c r="K289" s="375"/>
      <c r="L289" s="375"/>
      <c r="M289" s="375"/>
      <c r="N289" s="375"/>
      <c r="O289" s="375"/>
      <c r="P289" s="375"/>
      <c r="Q289" s="375"/>
      <c r="R289" s="375"/>
      <c r="S289" s="375"/>
      <c r="T289" s="375"/>
      <c r="U289" s="375"/>
      <c r="V289" s="375"/>
      <c r="W289" s="375"/>
      <c r="X289" s="375"/>
      <c r="Y289" s="375"/>
      <c r="Z289" s="375"/>
      <c r="AA289" s="375"/>
      <c r="AB289" s="375"/>
      <c r="AC289" s="396"/>
      <c r="AD289" s="360"/>
      <c r="AE289" s="360"/>
      <c r="AF289" s="360"/>
      <c r="AG289" s="360"/>
      <c r="AH289" s="360"/>
      <c r="AI289" s="360"/>
      <c r="AJ289" s="360"/>
      <c r="AK289" s="360"/>
    </row>
    <row r="290" spans="1:37" s="386" customFormat="1" hidden="1" x14ac:dyDescent="0.25">
      <c r="A290" s="409"/>
      <c r="B290" s="406"/>
      <c r="C290" s="407"/>
      <c r="D290" s="406"/>
      <c r="E290" s="407">
        <v>2012</v>
      </c>
      <c r="F290" s="407">
        <v>2013</v>
      </c>
      <c r="G290" s="407">
        <v>2014</v>
      </c>
      <c r="H290" s="407"/>
      <c r="I290" s="407"/>
      <c r="J290" s="407"/>
      <c r="K290" s="407"/>
      <c r="L290" s="407"/>
      <c r="M290" s="407"/>
      <c r="N290" s="407"/>
      <c r="O290" s="407"/>
      <c r="P290" s="407"/>
      <c r="Q290" s="407"/>
      <c r="R290" s="407"/>
      <c r="S290" s="407"/>
      <c r="T290" s="407"/>
      <c r="U290" s="407"/>
      <c r="V290" s="407"/>
      <c r="W290" s="407"/>
      <c r="X290" s="407"/>
      <c r="Y290" s="407"/>
      <c r="Z290" s="407"/>
      <c r="AA290" s="407"/>
      <c r="AB290" s="407"/>
      <c r="AC290" s="413"/>
    </row>
    <row r="291" spans="1:37" x14ac:dyDescent="0.25">
      <c r="A291" s="418" t="s">
        <v>760</v>
      </c>
      <c r="B291" s="437" t="s">
        <v>1583</v>
      </c>
      <c r="C291" s="437" t="s">
        <v>759</v>
      </c>
      <c r="D291" s="436" t="s">
        <v>904</v>
      </c>
      <c r="E291" s="420">
        <v>0.507411642337258</v>
      </c>
      <c r="F291" s="420">
        <v>0.49935966335005399</v>
      </c>
      <c r="G291" s="420">
        <v>0.48960813019935201</v>
      </c>
      <c r="H291" s="421">
        <v>2014</v>
      </c>
      <c r="I291" s="421">
        <v>0.48960813019935201</v>
      </c>
      <c r="J291" s="421">
        <v>2015</v>
      </c>
      <c r="K291" s="411">
        <v>0.44845499999999999</v>
      </c>
      <c r="L291" s="421">
        <f>Table14[[#This Row],[Data reference value]]+Table14[[#This Row],[Data reference value]]*Table14[[#This Row],[Ambitious target improvement rate 2030]]</f>
        <v>0.244804065099676</v>
      </c>
      <c r="M291" s="421">
        <v>-0.5</v>
      </c>
      <c r="N291" s="421">
        <f>(Table14[[#This Row],[Ambitious target 2030]]-Table14[[#This Row],[Model reference value]])*0.5+Table14[[#This Row],[Model reference value]]</f>
        <v>0.34662953254983797</v>
      </c>
      <c r="O291" s="421">
        <f>(Table14[[#This Row],[Ambitious target 2030]]-Table14[[#This Row],[Model reference value]])*0.25+Table14[[#This Row],[Model reference value]]</f>
        <v>0.39754226627491901</v>
      </c>
      <c r="P291" s="421">
        <f>Table14[[#This Row],[Model reference value]]</f>
        <v>0.44845499999999999</v>
      </c>
      <c r="Q291" s="421">
        <f>Table14[[#This Row],[Data reference value]]+Table14[[#This Row],[Data reference value]]*Table14[[#This Row],[Ambitious target improvement rate 2050]]</f>
        <v>9.7921626039870369E-2</v>
      </c>
      <c r="R291" s="421">
        <v>-0.8</v>
      </c>
      <c r="S291" s="421">
        <f>(Table14[[#This Row],[Ambitious target 2050]]-Table14[[#This Row],[Model reference value]])*0.5+Table14[[#This Row],[Model reference value]]</f>
        <v>0.27318831301993518</v>
      </c>
      <c r="T291" s="421">
        <f>(Table14[[#This Row],[Ambitious target 2050]]-Table14[[#This Row],[Model reference value]])*0.25+Table14[[#This Row],[Model reference value]]</f>
        <v>0.36082165650996756</v>
      </c>
      <c r="U291" s="421">
        <f>Table14[[#This Row],[Worst value 2030]]</f>
        <v>0.44845499999999999</v>
      </c>
      <c r="V291" s="421">
        <f>Table14[[#This Row],[Data reference value]]+Table14[[#This Row],[Data reference value]]*Table14[[#This Row],[Ambitious target improvement rate 2100]]</f>
        <v>0</v>
      </c>
      <c r="W291" s="421">
        <v>-1</v>
      </c>
      <c r="X291" s="421">
        <f>(Table14[[#This Row],[Ambitious target 2100]]-Table14[[#This Row],[Model reference value]])*0.5+Table14[[#This Row],[Model reference value]]</f>
        <v>0.2242275</v>
      </c>
      <c r="Y291" s="421">
        <f>(Table14[[#This Row],[Ambitious target 2100]]-Table14[[#This Row],[Model reference value]])*0.25+Table14[[#This Row],[Model reference value]]</f>
        <v>0.33634124999999998</v>
      </c>
      <c r="Z291" s="421">
        <f>Table14[[#This Row],[Worst value 2030]]</f>
        <v>0.44845499999999999</v>
      </c>
      <c r="AA291" s="421" t="s">
        <v>1140</v>
      </c>
      <c r="AB291" s="421" t="s">
        <v>1040</v>
      </c>
      <c r="AC291" s="419" t="s">
        <v>762</v>
      </c>
      <c r="AD291" s="371" t="s">
        <v>1094</v>
      </c>
      <c r="AE291" s="360"/>
      <c r="AF291" s="360"/>
      <c r="AG291" s="360"/>
      <c r="AH291" s="360"/>
      <c r="AI291" s="360"/>
      <c r="AJ291" s="360"/>
      <c r="AK291" s="360"/>
    </row>
    <row r="292" spans="1:37" hidden="1" x14ac:dyDescent="0.25">
      <c r="A292" s="390"/>
      <c r="B292" s="369"/>
      <c r="C292" s="369"/>
      <c r="D292" s="369"/>
      <c r="E292" s="379"/>
      <c r="F292" s="380"/>
      <c r="G292" s="381"/>
      <c r="H292" s="421"/>
      <c r="I292" s="375"/>
      <c r="J292" s="375"/>
      <c r="K292" s="375"/>
      <c r="L292" s="375"/>
      <c r="M292" s="375"/>
      <c r="N292" s="375"/>
      <c r="O292" s="375"/>
      <c r="P292" s="375"/>
      <c r="Q292" s="375"/>
      <c r="R292" s="375"/>
      <c r="S292" s="375"/>
      <c r="T292" s="375"/>
      <c r="U292" s="375"/>
      <c r="V292" s="375"/>
      <c r="W292" s="375"/>
      <c r="X292" s="375"/>
      <c r="Y292" s="375"/>
      <c r="Z292" s="375"/>
      <c r="AA292" s="375"/>
      <c r="AB292" s="375"/>
      <c r="AC292" s="396"/>
      <c r="AD292" s="360"/>
      <c r="AE292" s="360"/>
      <c r="AF292" s="360"/>
      <c r="AG292" s="360"/>
      <c r="AH292" s="360"/>
      <c r="AI292" s="360"/>
      <c r="AJ292" s="360"/>
      <c r="AK292" s="360"/>
    </row>
    <row r="293" spans="1:37" hidden="1" x14ac:dyDescent="0.25">
      <c r="A293" s="390"/>
      <c r="B293" s="369"/>
      <c r="C293" s="369"/>
      <c r="D293" s="369"/>
      <c r="E293" s="379"/>
      <c r="F293" s="380"/>
      <c r="G293" s="381"/>
      <c r="H293" s="421"/>
      <c r="I293" s="375"/>
      <c r="J293" s="375"/>
      <c r="K293" s="375"/>
      <c r="L293" s="375"/>
      <c r="M293" s="375"/>
      <c r="N293" s="375"/>
      <c r="O293" s="375"/>
      <c r="P293" s="375"/>
      <c r="Q293" s="375"/>
      <c r="R293" s="375"/>
      <c r="S293" s="375"/>
      <c r="T293" s="375"/>
      <c r="U293" s="375"/>
      <c r="V293" s="375"/>
      <c r="W293" s="375"/>
      <c r="X293" s="375"/>
      <c r="Y293" s="375"/>
      <c r="Z293" s="375"/>
      <c r="AA293" s="375"/>
      <c r="AB293" s="375"/>
      <c r="AC293" s="396"/>
      <c r="AD293" s="360"/>
      <c r="AE293" s="360"/>
      <c r="AF293" s="360"/>
      <c r="AG293" s="360"/>
      <c r="AH293" s="360"/>
      <c r="AI293" s="360"/>
      <c r="AJ293" s="360"/>
      <c r="AK293" s="360"/>
    </row>
    <row r="294" spans="1:37" hidden="1" x14ac:dyDescent="0.25">
      <c r="A294" s="390"/>
      <c r="B294" s="369"/>
      <c r="C294" s="369"/>
      <c r="D294" s="369"/>
      <c r="E294" s="379"/>
      <c r="F294" s="380"/>
      <c r="G294" s="381"/>
      <c r="H294" s="421"/>
      <c r="I294" s="375"/>
      <c r="J294" s="375"/>
      <c r="K294" s="375"/>
      <c r="L294" s="375"/>
      <c r="M294" s="375"/>
      <c r="N294" s="375"/>
      <c r="O294" s="375"/>
      <c r="P294" s="375"/>
      <c r="Q294" s="375"/>
      <c r="R294" s="375"/>
      <c r="S294" s="375"/>
      <c r="T294" s="375"/>
      <c r="U294" s="375"/>
      <c r="V294" s="375"/>
      <c r="W294" s="375"/>
      <c r="X294" s="375"/>
      <c r="Y294" s="375"/>
      <c r="Z294" s="375"/>
      <c r="AA294" s="375"/>
      <c r="AB294" s="375"/>
      <c r="AC294" s="396"/>
      <c r="AD294" s="360"/>
      <c r="AE294" s="360"/>
      <c r="AF294" s="360"/>
      <c r="AG294" s="360"/>
      <c r="AH294" s="360"/>
      <c r="AI294" s="360"/>
      <c r="AJ294" s="360"/>
      <c r="AK294" s="360"/>
    </row>
    <row r="295" spans="1:37" hidden="1" x14ac:dyDescent="0.25">
      <c r="A295" s="390"/>
      <c r="B295" s="369"/>
      <c r="C295" s="369"/>
      <c r="D295" s="369"/>
      <c r="E295" s="379"/>
      <c r="F295" s="380"/>
      <c r="G295" s="381"/>
      <c r="H295" s="421"/>
      <c r="I295" s="375"/>
      <c r="J295" s="375"/>
      <c r="K295" s="375"/>
      <c r="L295" s="375"/>
      <c r="M295" s="375"/>
      <c r="N295" s="375"/>
      <c r="O295" s="375"/>
      <c r="P295" s="375"/>
      <c r="Q295" s="375"/>
      <c r="R295" s="375"/>
      <c r="S295" s="375"/>
      <c r="T295" s="375"/>
      <c r="U295" s="375"/>
      <c r="V295" s="375"/>
      <c r="W295" s="375"/>
      <c r="X295" s="375"/>
      <c r="Y295" s="375"/>
      <c r="Z295" s="375"/>
      <c r="AA295" s="375"/>
      <c r="AB295" s="375"/>
      <c r="AC295" s="396"/>
      <c r="AD295" s="360"/>
      <c r="AE295" s="360"/>
      <c r="AF295" s="360"/>
      <c r="AG295" s="360"/>
      <c r="AH295" s="360"/>
      <c r="AI295" s="360"/>
      <c r="AJ295" s="360"/>
      <c r="AK295" s="360"/>
    </row>
    <row r="296" spans="1:37" hidden="1" x14ac:dyDescent="0.25">
      <c r="A296" s="390"/>
      <c r="B296" s="369"/>
      <c r="C296" s="369"/>
      <c r="D296" s="369"/>
      <c r="E296" s="379"/>
      <c r="F296" s="380"/>
      <c r="G296" s="381"/>
      <c r="H296" s="421"/>
      <c r="I296" s="375"/>
      <c r="J296" s="375"/>
      <c r="K296" s="375"/>
      <c r="L296" s="375"/>
      <c r="M296" s="375"/>
      <c r="N296" s="375"/>
      <c r="O296" s="375"/>
      <c r="P296" s="375"/>
      <c r="Q296" s="375"/>
      <c r="R296" s="375"/>
      <c r="S296" s="375"/>
      <c r="T296" s="375"/>
      <c r="U296" s="375"/>
      <c r="V296" s="375"/>
      <c r="W296" s="375"/>
      <c r="X296" s="375"/>
      <c r="Y296" s="375"/>
      <c r="Z296" s="375"/>
      <c r="AA296" s="375"/>
      <c r="AB296" s="375"/>
      <c r="AC296" s="396"/>
      <c r="AD296" s="360"/>
      <c r="AE296" s="360"/>
      <c r="AF296" s="360"/>
      <c r="AG296" s="360"/>
      <c r="AH296" s="360"/>
      <c r="AI296" s="360"/>
      <c r="AJ296" s="360"/>
      <c r="AK296" s="360"/>
    </row>
    <row r="297" spans="1:37" hidden="1" x14ac:dyDescent="0.25">
      <c r="A297" s="390"/>
      <c r="B297" s="369"/>
      <c r="C297" s="369"/>
      <c r="D297" s="369"/>
      <c r="E297" s="382"/>
      <c r="F297" s="383"/>
      <c r="G297" s="384"/>
      <c r="H297" s="421"/>
      <c r="I297" s="375"/>
      <c r="J297" s="375"/>
      <c r="K297" s="375"/>
      <c r="L297" s="375"/>
      <c r="M297" s="375"/>
      <c r="N297" s="375"/>
      <c r="O297" s="375"/>
      <c r="P297" s="375"/>
      <c r="Q297" s="375"/>
      <c r="R297" s="375"/>
      <c r="S297" s="375"/>
      <c r="T297" s="375"/>
      <c r="U297" s="375"/>
      <c r="V297" s="375"/>
      <c r="W297" s="375"/>
      <c r="X297" s="375"/>
      <c r="Y297" s="375"/>
      <c r="Z297" s="375"/>
      <c r="AA297" s="375"/>
      <c r="AB297" s="375"/>
      <c r="AC297" s="396"/>
      <c r="AD297" s="360"/>
      <c r="AE297" s="360"/>
      <c r="AF297" s="360"/>
      <c r="AG297" s="360"/>
      <c r="AH297" s="360"/>
      <c r="AI297" s="360"/>
      <c r="AJ297" s="360"/>
      <c r="AK297" s="360"/>
    </row>
    <row r="298" spans="1:37" hidden="1" x14ac:dyDescent="0.25">
      <c r="A298" s="390"/>
      <c r="B298" s="369"/>
      <c r="C298" s="369"/>
      <c r="D298" s="369"/>
      <c r="E298" s="382"/>
      <c r="F298" s="383"/>
      <c r="G298" s="384"/>
      <c r="H298" s="421"/>
      <c r="I298" s="375"/>
      <c r="J298" s="375"/>
      <c r="K298" s="375"/>
      <c r="L298" s="375"/>
      <c r="M298" s="375"/>
      <c r="N298" s="375"/>
      <c r="O298" s="375"/>
      <c r="P298" s="375"/>
      <c r="Q298" s="375"/>
      <c r="R298" s="375"/>
      <c r="S298" s="375"/>
      <c r="T298" s="375"/>
      <c r="U298" s="375"/>
      <c r="V298" s="375"/>
      <c r="W298" s="375"/>
      <c r="X298" s="375"/>
      <c r="Y298" s="375"/>
      <c r="Z298" s="375"/>
      <c r="AA298" s="375"/>
      <c r="AB298" s="375"/>
      <c r="AC298" s="396"/>
      <c r="AD298" s="360"/>
      <c r="AE298" s="360"/>
      <c r="AF298" s="360"/>
      <c r="AG298" s="360"/>
      <c r="AH298" s="360"/>
      <c r="AI298" s="360"/>
      <c r="AJ298" s="360"/>
      <c r="AK298" s="360"/>
    </row>
    <row r="299" spans="1:37" hidden="1" x14ac:dyDescent="0.25">
      <c r="A299" s="390"/>
      <c r="B299" s="369"/>
      <c r="C299" s="369"/>
      <c r="D299" s="369"/>
      <c r="E299" s="382"/>
      <c r="F299" s="383"/>
      <c r="G299" s="384"/>
      <c r="H299" s="421"/>
      <c r="I299" s="375"/>
      <c r="J299" s="375"/>
      <c r="K299" s="375"/>
      <c r="L299" s="375"/>
      <c r="M299" s="375"/>
      <c r="N299" s="375"/>
      <c r="O299" s="375"/>
      <c r="P299" s="375"/>
      <c r="Q299" s="375"/>
      <c r="R299" s="375"/>
      <c r="S299" s="375"/>
      <c r="T299" s="375"/>
      <c r="U299" s="375"/>
      <c r="V299" s="375"/>
      <c r="W299" s="375"/>
      <c r="X299" s="375"/>
      <c r="Y299" s="375"/>
      <c r="Z299" s="375"/>
      <c r="AA299" s="375"/>
      <c r="AB299" s="375"/>
      <c r="AC299" s="396"/>
      <c r="AD299" s="360"/>
      <c r="AE299" s="360"/>
      <c r="AF299" s="360"/>
      <c r="AG299" s="360"/>
      <c r="AH299" s="360"/>
      <c r="AI299" s="360"/>
      <c r="AJ299" s="360"/>
      <c r="AK299" s="360"/>
    </row>
    <row r="300" spans="1:37" hidden="1" x14ac:dyDescent="0.25">
      <c r="A300" s="390"/>
      <c r="B300" s="369"/>
      <c r="C300" s="369"/>
      <c r="D300" s="369"/>
      <c r="E300" s="382"/>
      <c r="F300" s="383"/>
      <c r="G300" s="384"/>
      <c r="H300" s="421"/>
      <c r="I300" s="375"/>
      <c r="J300" s="375"/>
      <c r="K300" s="375"/>
      <c r="L300" s="375"/>
      <c r="M300" s="375"/>
      <c r="N300" s="375"/>
      <c r="O300" s="375"/>
      <c r="P300" s="375"/>
      <c r="Q300" s="375"/>
      <c r="R300" s="375"/>
      <c r="S300" s="375"/>
      <c r="T300" s="375"/>
      <c r="U300" s="375"/>
      <c r="V300" s="375"/>
      <c r="W300" s="375"/>
      <c r="X300" s="375"/>
      <c r="Y300" s="375"/>
      <c r="Z300" s="375"/>
      <c r="AA300" s="375"/>
      <c r="AB300" s="375"/>
      <c r="AC300" s="396"/>
      <c r="AD300" s="360"/>
      <c r="AE300" s="360"/>
      <c r="AF300" s="360"/>
      <c r="AG300" s="360"/>
      <c r="AH300" s="360"/>
      <c r="AI300" s="360"/>
      <c r="AJ300" s="360"/>
      <c r="AK300" s="360"/>
    </row>
    <row r="301" spans="1:37" hidden="1" x14ac:dyDescent="0.25">
      <c r="A301" s="390"/>
      <c r="B301" s="369"/>
      <c r="C301" s="369"/>
      <c r="D301" s="369"/>
      <c r="E301" s="382"/>
      <c r="F301" s="383"/>
      <c r="G301" s="384"/>
      <c r="H301" s="421"/>
      <c r="I301" s="375"/>
      <c r="J301" s="375"/>
      <c r="K301" s="375"/>
      <c r="L301" s="375"/>
      <c r="M301" s="375"/>
      <c r="N301" s="375"/>
      <c r="O301" s="375"/>
      <c r="P301" s="375"/>
      <c r="Q301" s="375"/>
      <c r="R301" s="375"/>
      <c r="S301" s="375"/>
      <c r="T301" s="375"/>
      <c r="U301" s="375"/>
      <c r="V301" s="375"/>
      <c r="W301" s="375"/>
      <c r="X301" s="375"/>
      <c r="Y301" s="375"/>
      <c r="Z301" s="375"/>
      <c r="AA301" s="375"/>
      <c r="AB301" s="375"/>
      <c r="AC301" s="396"/>
      <c r="AD301" s="360"/>
      <c r="AE301" s="360"/>
      <c r="AF301" s="360"/>
      <c r="AG301" s="360"/>
      <c r="AH301" s="360"/>
      <c r="AI301" s="360"/>
      <c r="AJ301" s="360"/>
      <c r="AK301" s="360"/>
    </row>
    <row r="302" spans="1:37" s="386" customFormat="1" hidden="1" x14ac:dyDescent="0.25">
      <c r="A302" s="409"/>
      <c r="B302" s="406"/>
      <c r="C302" s="406"/>
      <c r="D302" s="406"/>
      <c r="E302" s="407"/>
      <c r="F302" s="407"/>
      <c r="G302" s="407">
        <v>2016</v>
      </c>
      <c r="H302" s="407"/>
      <c r="I302" s="407"/>
      <c r="J302" s="407"/>
      <c r="K302" s="407"/>
      <c r="L302" s="407"/>
      <c r="M302" s="407"/>
      <c r="N302" s="407"/>
      <c r="O302" s="407"/>
      <c r="P302" s="407"/>
      <c r="Q302" s="407"/>
      <c r="R302" s="407"/>
      <c r="S302" s="407"/>
      <c r="T302" s="407"/>
      <c r="U302" s="407"/>
      <c r="V302" s="407"/>
      <c r="W302" s="407"/>
      <c r="X302" s="407"/>
      <c r="Y302" s="407"/>
      <c r="Z302" s="407"/>
      <c r="AA302" s="407"/>
      <c r="AB302" s="407"/>
      <c r="AC302" s="413"/>
    </row>
    <row r="303" spans="1:37" x14ac:dyDescent="0.25">
      <c r="A303" s="418" t="s">
        <v>597</v>
      </c>
      <c r="B303" s="437" t="s">
        <v>820</v>
      </c>
      <c r="C303" s="437" t="s">
        <v>818</v>
      </c>
      <c r="D303" s="436" t="s">
        <v>1090</v>
      </c>
      <c r="E303" s="420"/>
      <c r="F303" s="420"/>
      <c r="G303" s="420">
        <v>9.0589999999999993</v>
      </c>
      <c r="H303" s="421">
        <v>2016</v>
      </c>
      <c r="I303" s="421">
        <v>9.0589999999999993</v>
      </c>
      <c r="J303" s="421">
        <v>2015</v>
      </c>
      <c r="K303" s="411">
        <v>9.5529799999999998</v>
      </c>
      <c r="L303" s="421">
        <v>8</v>
      </c>
      <c r="M303" s="421"/>
      <c r="N303" s="421">
        <f>(L303-K303)*0.5+K303</f>
        <v>8.776489999999999</v>
      </c>
      <c r="O303" s="421">
        <f>(Table14[[#This Row],[Ambitious target 2030]]-Table14[[#This Row],[Model reference value]])*0.25+Table14[[#This Row],[Model reference value]]</f>
        <v>9.1647350000000003</v>
      </c>
      <c r="P303" s="421">
        <f>K303</f>
        <v>9.5529799999999998</v>
      </c>
      <c r="Q303" s="421">
        <f>Table14[[#This Row],[Ambitious target 2030]]*0.5</f>
        <v>4</v>
      </c>
      <c r="R303" s="421"/>
      <c r="S303" s="421">
        <f>(Table14[[#This Row],[Ambitious target 2050]]-Table14[[#This Row],[Model reference value]])*0.5+Table14[[#This Row],[Model reference value]]</f>
        <v>6.7764899999999999</v>
      </c>
      <c r="T303" s="421">
        <f>(Table14[[#This Row],[Ambitious target 2050]]-Table14[[#This Row],[Model reference value]])*0.25+Table14[[#This Row],[Model reference value]]</f>
        <v>8.1647350000000003</v>
      </c>
      <c r="U303" s="421">
        <f>Table14[[#This Row],[Worst value 2030]]</f>
        <v>9.5529799999999998</v>
      </c>
      <c r="V303" s="421">
        <f>Table14[[#This Row],[Ambitious target 2030]]*0.2</f>
        <v>1.6</v>
      </c>
      <c r="W303" s="421"/>
      <c r="X303" s="421">
        <f>(Table14[[#This Row],[Ambitious target 2100]]-Table14[[#This Row],[Model reference value]])*0.5+Table14[[#This Row],[Model reference value]]</f>
        <v>5.5764899999999997</v>
      </c>
      <c r="Y303" s="421">
        <f>(Table14[[#This Row],[Ambitious target 2100]]-Table14[[#This Row],[Model reference value]])*0.25+Table14[[#This Row],[Model reference value]]</f>
        <v>7.5647349999999998</v>
      </c>
      <c r="Z303" s="421">
        <f>Table14[[#This Row],[Worst value 2030]]</f>
        <v>9.5529799999999998</v>
      </c>
      <c r="AA303" s="421" t="s">
        <v>985</v>
      </c>
      <c r="AB303" s="421" t="s">
        <v>1180</v>
      </c>
      <c r="AC303" s="419" t="s">
        <v>816</v>
      </c>
      <c r="AD303" s="360"/>
      <c r="AE303" s="360"/>
      <c r="AF303" s="360"/>
      <c r="AG303" s="360"/>
      <c r="AH303" s="360"/>
      <c r="AI303" s="360"/>
      <c r="AJ303" s="360"/>
      <c r="AK303" s="360"/>
    </row>
    <row r="304" spans="1:37" hidden="1" x14ac:dyDescent="0.25">
      <c r="A304" s="390"/>
      <c r="B304" s="369"/>
      <c r="C304" s="369"/>
      <c r="D304" s="369" t="s">
        <v>811</v>
      </c>
      <c r="E304" s="379"/>
      <c r="F304" s="380"/>
      <c r="G304" s="381">
        <v>225</v>
      </c>
      <c r="H304" s="421"/>
      <c r="I304" s="375"/>
      <c r="J304" s="375"/>
      <c r="K304" s="375"/>
      <c r="L304" s="375"/>
      <c r="M304" s="375"/>
      <c r="N304" s="375"/>
      <c r="O304" s="375"/>
      <c r="P304" s="375"/>
      <c r="Q304" s="375"/>
      <c r="R304" s="375"/>
      <c r="S304" s="375"/>
      <c r="T304" s="375"/>
      <c r="U304" s="375"/>
      <c r="V304" s="375"/>
      <c r="W304" s="375"/>
      <c r="X304" s="375"/>
      <c r="Y304" s="375"/>
      <c r="Z304" s="375"/>
      <c r="AA304" s="375"/>
      <c r="AB304" s="375"/>
      <c r="AC304" s="396"/>
      <c r="AD304" s="360"/>
      <c r="AE304" s="360"/>
      <c r="AF304" s="360"/>
      <c r="AG304" s="360"/>
      <c r="AH304" s="360"/>
      <c r="AI304" s="360"/>
      <c r="AJ304" s="360"/>
      <c r="AK304" s="360"/>
    </row>
    <row r="305" spans="1:37" hidden="1" x14ac:dyDescent="0.25">
      <c r="A305" s="390"/>
      <c r="B305" s="369"/>
      <c r="C305" s="369"/>
      <c r="D305" s="369" t="s">
        <v>699</v>
      </c>
      <c r="E305" s="379"/>
      <c r="F305" s="380"/>
      <c r="G305" s="381">
        <v>148</v>
      </c>
      <c r="H305" s="421"/>
      <c r="I305" s="375"/>
      <c r="J305" s="375"/>
      <c r="K305" s="375"/>
      <c r="L305" s="375"/>
      <c r="M305" s="375"/>
      <c r="N305" s="375"/>
      <c r="O305" s="375"/>
      <c r="P305" s="375"/>
      <c r="Q305" s="375"/>
      <c r="R305" s="375"/>
      <c r="S305" s="375"/>
      <c r="T305" s="375"/>
      <c r="U305" s="375"/>
      <c r="V305" s="375"/>
      <c r="W305" s="375"/>
      <c r="X305" s="375"/>
      <c r="Y305" s="375"/>
      <c r="Z305" s="375"/>
      <c r="AA305" s="375"/>
      <c r="AB305" s="375"/>
      <c r="AC305" s="403"/>
      <c r="AD305" s="360"/>
      <c r="AE305" s="360"/>
      <c r="AF305" s="360"/>
      <c r="AG305" s="360"/>
      <c r="AH305" s="360"/>
      <c r="AI305" s="360"/>
      <c r="AJ305" s="360"/>
      <c r="AK305" s="360"/>
    </row>
    <row r="306" spans="1:37" hidden="1" x14ac:dyDescent="0.25">
      <c r="A306" s="390"/>
      <c r="B306" s="369"/>
      <c r="C306" s="369"/>
      <c r="D306" s="369" t="s">
        <v>812</v>
      </c>
      <c r="E306" s="379"/>
      <c r="F306" s="380"/>
      <c r="G306" s="381">
        <v>101</v>
      </c>
      <c r="H306" s="421"/>
      <c r="I306" s="375"/>
      <c r="J306" s="375"/>
      <c r="K306" s="375"/>
      <c r="L306" s="375"/>
      <c r="M306" s="375"/>
      <c r="N306" s="375"/>
      <c r="O306" s="375"/>
      <c r="P306" s="375"/>
      <c r="Q306" s="375"/>
      <c r="R306" s="375"/>
      <c r="S306" s="375"/>
      <c r="T306" s="375"/>
      <c r="U306" s="375"/>
      <c r="V306" s="375"/>
      <c r="W306" s="375"/>
      <c r="X306" s="375"/>
      <c r="Y306" s="375"/>
      <c r="Z306" s="375"/>
      <c r="AA306" s="375"/>
      <c r="AB306" s="375"/>
      <c r="AC306" s="396"/>
      <c r="AD306" s="360"/>
      <c r="AE306" s="360"/>
      <c r="AF306" s="360"/>
      <c r="AG306" s="360"/>
      <c r="AH306" s="360"/>
      <c r="AI306" s="360"/>
      <c r="AJ306" s="360"/>
      <c r="AK306" s="360"/>
    </row>
    <row r="307" spans="1:37" hidden="1" x14ac:dyDescent="0.25">
      <c r="A307" s="390"/>
      <c r="B307" s="369"/>
      <c r="C307" s="369"/>
      <c r="D307" s="369" t="s">
        <v>702</v>
      </c>
      <c r="E307" s="379"/>
      <c r="F307" s="380"/>
      <c r="G307" s="381">
        <v>98</v>
      </c>
      <c r="H307" s="421"/>
      <c r="I307" s="375"/>
      <c r="J307" s="375"/>
      <c r="K307" s="375"/>
      <c r="L307" s="375"/>
      <c r="M307" s="375"/>
      <c r="N307" s="375"/>
      <c r="O307" s="375"/>
      <c r="P307" s="375"/>
      <c r="Q307" s="375"/>
      <c r="R307" s="375"/>
      <c r="S307" s="375"/>
      <c r="T307" s="375"/>
      <c r="U307" s="375"/>
      <c r="V307" s="375"/>
      <c r="W307" s="375"/>
      <c r="X307" s="375"/>
      <c r="Y307" s="375"/>
      <c r="Z307" s="375"/>
      <c r="AA307" s="375"/>
      <c r="AB307" s="375"/>
      <c r="AC307" s="396"/>
      <c r="AD307" s="360"/>
      <c r="AE307" s="360"/>
      <c r="AF307" s="360"/>
      <c r="AG307" s="360"/>
      <c r="AH307" s="360"/>
      <c r="AI307" s="360"/>
      <c r="AJ307" s="360"/>
      <c r="AK307" s="360"/>
    </row>
    <row r="308" spans="1:37" hidden="1" x14ac:dyDescent="0.25">
      <c r="A308" s="390"/>
      <c r="B308" s="369"/>
      <c r="C308" s="369"/>
      <c r="D308" s="369" t="s">
        <v>813</v>
      </c>
      <c r="E308" s="379"/>
      <c r="F308" s="380"/>
      <c r="G308" s="381">
        <v>85</v>
      </c>
      <c r="H308" s="421"/>
      <c r="I308" s="375"/>
      <c r="J308" s="375"/>
      <c r="K308" s="375"/>
      <c r="L308" s="375"/>
      <c r="M308" s="375"/>
      <c r="N308" s="375"/>
      <c r="O308" s="375"/>
      <c r="P308" s="375"/>
      <c r="Q308" s="375"/>
      <c r="R308" s="375"/>
      <c r="S308" s="375"/>
      <c r="T308" s="375"/>
      <c r="U308" s="375"/>
      <c r="V308" s="375"/>
      <c r="W308" s="375"/>
      <c r="X308" s="375"/>
      <c r="Y308" s="375"/>
      <c r="Z308" s="375"/>
      <c r="AA308" s="375"/>
      <c r="AB308" s="375"/>
      <c r="AC308" s="396"/>
      <c r="AD308" s="360"/>
      <c r="AE308" s="360"/>
      <c r="AF308" s="360"/>
      <c r="AG308" s="360"/>
      <c r="AH308" s="360"/>
      <c r="AI308" s="360"/>
      <c r="AJ308" s="360"/>
      <c r="AK308" s="360"/>
    </row>
    <row r="309" spans="1:37" hidden="1" x14ac:dyDescent="0.25">
      <c r="A309" s="390"/>
      <c r="B309" s="369"/>
      <c r="C309" s="369"/>
      <c r="D309" s="369" t="s">
        <v>929</v>
      </c>
      <c r="E309" s="382"/>
      <c r="F309" s="383"/>
      <c r="G309" s="384">
        <v>10</v>
      </c>
      <c r="H309" s="421"/>
      <c r="I309" s="375"/>
      <c r="J309" s="375"/>
      <c r="K309" s="375"/>
      <c r="L309" s="375"/>
      <c r="M309" s="375"/>
      <c r="N309" s="375"/>
      <c r="O309" s="375"/>
      <c r="P309" s="375"/>
      <c r="Q309" s="375"/>
      <c r="R309" s="375"/>
      <c r="S309" s="375"/>
      <c r="T309" s="375"/>
      <c r="U309" s="375"/>
      <c r="V309" s="375"/>
      <c r="W309" s="375"/>
      <c r="X309" s="375"/>
      <c r="Y309" s="375"/>
      <c r="Z309" s="375"/>
      <c r="AA309" s="375"/>
      <c r="AB309" s="375"/>
      <c r="AC309" s="396"/>
      <c r="AD309" s="360"/>
      <c r="AE309" s="360"/>
      <c r="AF309" s="360"/>
      <c r="AG309" s="360"/>
      <c r="AH309" s="360"/>
      <c r="AI309" s="360"/>
      <c r="AJ309" s="360"/>
      <c r="AK309" s="360"/>
    </row>
    <row r="310" spans="1:37" hidden="1" x14ac:dyDescent="0.25">
      <c r="A310" s="390"/>
      <c r="B310" s="369"/>
      <c r="C310" s="369"/>
      <c r="D310" s="369" t="s">
        <v>844</v>
      </c>
      <c r="E310" s="382"/>
      <c r="F310" s="383"/>
      <c r="G310" s="384">
        <v>10</v>
      </c>
      <c r="H310" s="421"/>
      <c r="I310" s="375"/>
      <c r="J310" s="375"/>
      <c r="K310" s="375"/>
      <c r="L310" s="375"/>
      <c r="M310" s="375"/>
      <c r="N310" s="375"/>
      <c r="O310" s="375"/>
      <c r="P310" s="375"/>
      <c r="Q310" s="375"/>
      <c r="R310" s="375"/>
      <c r="S310" s="375"/>
      <c r="T310" s="375"/>
      <c r="U310" s="375"/>
      <c r="V310" s="375"/>
      <c r="W310" s="375"/>
      <c r="X310" s="375"/>
      <c r="Y310" s="375"/>
      <c r="Z310" s="375"/>
      <c r="AA310" s="375"/>
      <c r="AB310" s="375"/>
      <c r="AC310" s="396"/>
      <c r="AD310" s="360"/>
      <c r="AE310" s="360"/>
      <c r="AF310" s="360"/>
      <c r="AG310" s="360"/>
      <c r="AH310" s="360"/>
      <c r="AI310" s="360"/>
      <c r="AJ310" s="360"/>
      <c r="AK310" s="360"/>
    </row>
    <row r="311" spans="1:37" hidden="1" x14ac:dyDescent="0.25">
      <c r="A311" s="390"/>
      <c r="B311" s="369"/>
      <c r="C311" s="369"/>
      <c r="D311" s="369" t="s">
        <v>928</v>
      </c>
      <c r="E311" s="382"/>
      <c r="F311" s="383"/>
      <c r="G311" s="384">
        <v>10</v>
      </c>
      <c r="H311" s="421"/>
      <c r="I311" s="375"/>
      <c r="J311" s="375"/>
      <c r="K311" s="375"/>
      <c r="L311" s="375"/>
      <c r="M311" s="375"/>
      <c r="N311" s="375"/>
      <c r="O311" s="375"/>
      <c r="P311" s="375"/>
      <c r="Q311" s="375"/>
      <c r="R311" s="375"/>
      <c r="S311" s="375"/>
      <c r="T311" s="375"/>
      <c r="U311" s="375"/>
      <c r="V311" s="375"/>
      <c r="W311" s="375"/>
      <c r="X311" s="375"/>
      <c r="Y311" s="375"/>
      <c r="Z311" s="375"/>
      <c r="AA311" s="375"/>
      <c r="AB311" s="375"/>
      <c r="AC311" s="396"/>
      <c r="AD311" s="360"/>
      <c r="AE311" s="360"/>
      <c r="AF311" s="360"/>
      <c r="AG311" s="360"/>
      <c r="AH311" s="360"/>
      <c r="AI311" s="360"/>
      <c r="AJ311" s="360"/>
      <c r="AK311" s="360"/>
    </row>
    <row r="312" spans="1:37" hidden="1" x14ac:dyDescent="0.25">
      <c r="A312" s="390"/>
      <c r="B312" s="369"/>
      <c r="C312" s="369"/>
      <c r="D312" s="369" t="s">
        <v>1036</v>
      </c>
      <c r="E312" s="382"/>
      <c r="F312" s="383"/>
      <c r="G312" s="384">
        <v>5</v>
      </c>
      <c r="H312" s="421"/>
      <c r="I312" s="375"/>
      <c r="J312" s="375"/>
      <c r="K312" s="375"/>
      <c r="L312" s="375"/>
      <c r="M312" s="375"/>
      <c r="N312" s="375"/>
      <c r="O312" s="375"/>
      <c r="P312" s="375"/>
      <c r="Q312" s="375"/>
      <c r="R312" s="375"/>
      <c r="S312" s="375"/>
      <c r="T312" s="375"/>
      <c r="U312" s="375"/>
      <c r="V312" s="375"/>
      <c r="W312" s="375"/>
      <c r="X312" s="375"/>
      <c r="Y312" s="375"/>
      <c r="Z312" s="375"/>
      <c r="AA312" s="375"/>
      <c r="AB312" s="375"/>
      <c r="AC312" s="396"/>
      <c r="AD312" s="360"/>
      <c r="AE312" s="360"/>
      <c r="AF312" s="360"/>
      <c r="AG312" s="360"/>
      <c r="AH312" s="360"/>
      <c r="AI312" s="360"/>
      <c r="AJ312" s="360"/>
      <c r="AK312" s="360"/>
    </row>
    <row r="313" spans="1:37" hidden="1" x14ac:dyDescent="0.25">
      <c r="A313" s="390"/>
      <c r="B313" s="369"/>
      <c r="C313" s="369"/>
      <c r="D313" s="369" t="s">
        <v>713</v>
      </c>
      <c r="E313" s="382"/>
      <c r="F313" s="383"/>
      <c r="G313" s="384">
        <v>5</v>
      </c>
      <c r="H313" s="421"/>
      <c r="I313" s="375"/>
      <c r="J313" s="375"/>
      <c r="K313" s="375"/>
      <c r="L313" s="375"/>
      <c r="M313" s="375"/>
      <c r="N313" s="375"/>
      <c r="O313" s="375"/>
      <c r="P313" s="375"/>
      <c r="Q313" s="375"/>
      <c r="R313" s="375"/>
      <c r="S313" s="375"/>
      <c r="T313" s="375"/>
      <c r="U313" s="375"/>
      <c r="V313" s="375"/>
      <c r="W313" s="375"/>
      <c r="X313" s="375"/>
      <c r="Y313" s="375"/>
      <c r="Z313" s="375"/>
      <c r="AA313" s="375"/>
      <c r="AB313" s="375"/>
      <c r="AC313" s="396"/>
      <c r="AD313" s="360"/>
      <c r="AE313" s="360"/>
      <c r="AF313" s="360"/>
      <c r="AG313" s="360"/>
      <c r="AH313" s="360"/>
      <c r="AI313" s="360"/>
      <c r="AJ313" s="360"/>
      <c r="AK313" s="360"/>
    </row>
    <row r="314" spans="1:37" s="386" customFormat="1" hidden="1" x14ac:dyDescent="0.25">
      <c r="A314" s="409"/>
      <c r="B314" s="406"/>
      <c r="C314" s="406"/>
      <c r="D314" s="433"/>
      <c r="E314" s="407">
        <v>2015</v>
      </c>
      <c r="F314" s="407">
        <v>2016</v>
      </c>
      <c r="G314" s="407">
        <v>2017</v>
      </c>
      <c r="H314" s="407"/>
      <c r="I314" s="407"/>
      <c r="J314" s="407"/>
      <c r="K314" s="407"/>
      <c r="L314" s="407"/>
      <c r="M314" s="407"/>
      <c r="N314" s="407"/>
      <c r="O314" s="407"/>
      <c r="P314" s="407"/>
      <c r="Q314" s="407"/>
      <c r="R314" s="407"/>
      <c r="S314" s="407"/>
      <c r="T314" s="407"/>
      <c r="U314" s="407"/>
      <c r="V314" s="407"/>
      <c r="W314" s="407"/>
      <c r="X314" s="407"/>
      <c r="Y314" s="407"/>
      <c r="Z314" s="407"/>
      <c r="AA314" s="407"/>
      <c r="AB314" s="407"/>
      <c r="AC314" s="413"/>
    </row>
    <row r="315" spans="1:37" x14ac:dyDescent="0.25">
      <c r="A315" s="418" t="s">
        <v>598</v>
      </c>
      <c r="B315" s="648" t="s">
        <v>829</v>
      </c>
      <c r="C315" s="437" t="s">
        <v>1614</v>
      </c>
      <c r="D315" s="436" t="s">
        <v>904</v>
      </c>
      <c r="E315" s="420">
        <v>106330.2</v>
      </c>
      <c r="F315" s="420">
        <v>108375.6</v>
      </c>
      <c r="G315" s="420">
        <v>107659.5</v>
      </c>
      <c r="H315" s="421">
        <v>2015</v>
      </c>
      <c r="I315" s="421">
        <v>106.3302</v>
      </c>
      <c r="J315" s="421">
        <v>2015</v>
      </c>
      <c r="K315" s="411">
        <v>119.23099999999999</v>
      </c>
      <c r="L315" s="427">
        <f>Table14[[#This Row],[Data reference value]]+Table14[[#This Row],[Data reference value]]*Table14[[#This Row],[Ambitious target improvement rate 2030]]</f>
        <v>95.697180000000003</v>
      </c>
      <c r="M315" s="427">
        <v>-0.1</v>
      </c>
      <c r="N315" s="421">
        <f>(Table14[[#This Row],[Ambitious target 2030]]-Table14[[#This Row],[Model reference value]])*0.5+Table14[[#This Row],[Model reference value]]</f>
        <v>107.46409</v>
      </c>
      <c r="O315" s="421">
        <f>(Table14[[#This Row],[Ambitious target 2030]]-Table14[[#This Row],[Model reference value]])*0.25+Table14[[#This Row],[Model reference value]]</f>
        <v>113.347545</v>
      </c>
      <c r="P315" s="421">
        <f>Table14[[#This Row],[Model reference value]]</f>
        <v>119.23099999999999</v>
      </c>
      <c r="Q315" s="421">
        <f>Table14[[#This Row],[Data reference value]]+Table14[[#This Row],[Data reference value]]*Table14[[#This Row],[Ambitious target improvement rate 2050]]</f>
        <v>85.064160000000001</v>
      </c>
      <c r="R315" s="421">
        <v>-0.2</v>
      </c>
      <c r="S315" s="421">
        <f>(Table14[[#This Row],[Ambitious target 2050]]-Table14[[#This Row],[Model reference value]])*0.5+Table14[[#This Row],[Model reference value]]</f>
        <v>102.14758</v>
      </c>
      <c r="T315" s="421">
        <f>(Table14[[#This Row],[Ambitious target 2050]]-Table14[[#This Row],[Model reference value]])*0.25+Table14[[#This Row],[Model reference value]]</f>
        <v>110.68929</v>
      </c>
      <c r="U315" s="421">
        <f>Table14[[#This Row],[Worst value 2030]]</f>
        <v>119.23099999999999</v>
      </c>
      <c r="V315" s="421">
        <f>Table14[[#This Row],[Data reference value]]+Table14[[#This Row],[Data reference value]]*Table14[[#This Row],[Ambitious target improvement rate 2100]]</f>
        <v>74.431139999999999</v>
      </c>
      <c r="W315" s="421">
        <v>-0.3</v>
      </c>
      <c r="X315" s="421">
        <f>(Table14[[#This Row],[Ambitious target 2100]]-Table14[[#This Row],[Model reference value]])*0.5+Table14[[#This Row],[Model reference value]]</f>
        <v>96.831069999999997</v>
      </c>
      <c r="Y315" s="421">
        <f>(Table14[[#This Row],[Ambitious target 2100]]-Table14[[#This Row],[Model reference value]])*0.25+Table14[[#This Row],[Model reference value]]</f>
        <v>108.031035</v>
      </c>
      <c r="Z315" s="421">
        <f>Table14[[#This Row],[Worst value 2030]]</f>
        <v>119.23099999999999</v>
      </c>
      <c r="AA315" s="421" t="s">
        <v>1140</v>
      </c>
      <c r="AB315" s="421"/>
      <c r="AC315" s="419" t="s">
        <v>846</v>
      </c>
      <c r="AD315" s="371" t="s">
        <v>934</v>
      </c>
      <c r="AE315" s="360"/>
      <c r="AF315" s="360"/>
      <c r="AG315" s="360"/>
      <c r="AH315" s="360"/>
      <c r="AI315" s="360"/>
      <c r="AJ315" s="360"/>
      <c r="AK315" s="360"/>
    </row>
    <row r="316" spans="1:37" hidden="1" x14ac:dyDescent="0.25">
      <c r="A316" s="390"/>
      <c r="B316" s="369"/>
      <c r="C316" s="369"/>
      <c r="D316" s="385" t="s">
        <v>777</v>
      </c>
      <c r="E316" s="379">
        <v>29306</v>
      </c>
      <c r="F316" s="380">
        <v>26522.6</v>
      </c>
      <c r="G316" s="381">
        <v>24580.9</v>
      </c>
      <c r="H316" s="421"/>
      <c r="I316" s="375"/>
      <c r="J316" s="375"/>
      <c r="K316" s="375"/>
      <c r="L316" s="375"/>
      <c r="M316" s="375"/>
      <c r="N316" s="375"/>
      <c r="O316" s="375"/>
      <c r="P316" s="375"/>
      <c r="Q316" s="375"/>
      <c r="R316" s="375"/>
      <c r="S316" s="375"/>
      <c r="T316" s="375"/>
      <c r="U316" s="375"/>
      <c r="V316" s="375"/>
      <c r="W316" s="375"/>
      <c r="X316" s="375"/>
      <c r="Y316" s="375"/>
      <c r="Z316" s="375"/>
      <c r="AA316" s="375"/>
      <c r="AB316" s="375"/>
      <c r="AC316" s="396"/>
      <c r="AD316" s="360"/>
      <c r="AE316" s="360"/>
      <c r="AF316" s="360"/>
      <c r="AG316" s="360"/>
      <c r="AH316" s="360"/>
      <c r="AI316" s="360"/>
      <c r="AJ316" s="360"/>
      <c r="AK316" s="360"/>
    </row>
    <row r="317" spans="1:37" hidden="1" x14ac:dyDescent="0.25">
      <c r="A317" s="390"/>
      <c r="B317" s="369"/>
      <c r="C317" s="369"/>
      <c r="D317" s="385" t="s">
        <v>691</v>
      </c>
      <c r="E317" s="379">
        <v>17372.3</v>
      </c>
      <c r="F317" s="380">
        <v>16735.400000000001</v>
      </c>
      <c r="G317" s="381">
        <v>16958.400000000001</v>
      </c>
      <c r="H317" s="421"/>
      <c r="I317" s="375"/>
      <c r="J317" s="375"/>
      <c r="K317" s="375"/>
      <c r="L317" s="375"/>
      <c r="M317" s="375"/>
      <c r="N317" s="375"/>
      <c r="O317" s="375"/>
      <c r="P317" s="375"/>
      <c r="Q317" s="375"/>
      <c r="R317" s="375"/>
      <c r="S317" s="375"/>
      <c r="T317" s="375"/>
      <c r="U317" s="375"/>
      <c r="V317" s="375"/>
      <c r="W317" s="375"/>
      <c r="X317" s="375"/>
      <c r="Y317" s="375"/>
      <c r="Z317" s="375"/>
      <c r="AA317" s="375"/>
      <c r="AB317" s="375"/>
      <c r="AC317" s="396"/>
      <c r="AD317" s="360"/>
      <c r="AE317" s="360"/>
      <c r="AF317" s="360"/>
      <c r="AG317" s="360"/>
      <c r="AH317" s="360"/>
      <c r="AI317" s="360"/>
      <c r="AJ317" s="360"/>
      <c r="AK317" s="360"/>
    </row>
    <row r="318" spans="1:37" hidden="1" x14ac:dyDescent="0.25">
      <c r="A318" s="390"/>
      <c r="B318" s="369"/>
      <c r="C318" s="369"/>
      <c r="D318" s="385" t="s">
        <v>805</v>
      </c>
      <c r="E318" s="379">
        <v>12161.9</v>
      </c>
      <c r="F318" s="380">
        <v>12812.9</v>
      </c>
      <c r="G318" s="381">
        <v>12897.9</v>
      </c>
      <c r="H318" s="421"/>
      <c r="I318" s="375"/>
      <c r="J318" s="375"/>
      <c r="K318" s="375"/>
      <c r="L318" s="375"/>
      <c r="M318" s="375"/>
      <c r="N318" s="375"/>
      <c r="O318" s="375"/>
      <c r="P318" s="375"/>
      <c r="Q318" s="375"/>
      <c r="R318" s="375"/>
      <c r="S318" s="375"/>
      <c r="T318" s="375"/>
      <c r="U318" s="375"/>
      <c r="V318" s="375"/>
      <c r="W318" s="375"/>
      <c r="X318" s="375"/>
      <c r="Y318" s="375"/>
      <c r="Z318" s="375"/>
      <c r="AA318" s="375"/>
      <c r="AB318" s="375"/>
      <c r="AC318" s="396"/>
      <c r="AD318" s="360"/>
      <c r="AE318" s="360"/>
      <c r="AF318" s="360"/>
      <c r="AG318" s="360"/>
      <c r="AH318" s="360"/>
      <c r="AI318" s="360"/>
      <c r="AJ318" s="360"/>
      <c r="AK318" s="360"/>
    </row>
    <row r="319" spans="1:37" hidden="1" x14ac:dyDescent="0.25">
      <c r="A319" s="390"/>
      <c r="B319" s="369"/>
      <c r="C319" s="369"/>
      <c r="D319" s="385" t="s">
        <v>778</v>
      </c>
      <c r="E319" s="379">
        <v>3532.7</v>
      </c>
      <c r="F319" s="380">
        <v>4366</v>
      </c>
      <c r="G319" s="381">
        <v>4377</v>
      </c>
      <c r="H319" s="421"/>
      <c r="I319" s="375"/>
      <c r="J319" s="375"/>
      <c r="K319" s="375"/>
      <c r="L319" s="375"/>
      <c r="M319" s="375"/>
      <c r="N319" s="375"/>
      <c r="O319" s="375"/>
      <c r="P319" s="375"/>
      <c r="Q319" s="375"/>
      <c r="R319" s="375"/>
      <c r="S319" s="375"/>
      <c r="T319" s="375"/>
      <c r="U319" s="375"/>
      <c r="V319" s="375"/>
      <c r="W319" s="375"/>
      <c r="X319" s="375"/>
      <c r="Y319" s="375"/>
      <c r="Z319" s="375"/>
      <c r="AA319" s="375"/>
      <c r="AB319" s="375"/>
      <c r="AC319" s="396"/>
      <c r="AD319" s="360"/>
      <c r="AE319" s="360"/>
      <c r="AF319" s="360"/>
      <c r="AG319" s="360"/>
      <c r="AH319" s="360"/>
      <c r="AI319" s="360"/>
      <c r="AJ319" s="360"/>
      <c r="AK319" s="360"/>
    </row>
    <row r="320" spans="1:37" hidden="1" x14ac:dyDescent="0.25">
      <c r="A320" s="390"/>
      <c r="B320" s="369"/>
      <c r="C320" s="369"/>
      <c r="D320" s="385" t="s">
        <v>775</v>
      </c>
      <c r="E320" s="379">
        <v>2860</v>
      </c>
      <c r="F320" s="380">
        <v>3231.9</v>
      </c>
      <c r="G320" s="381">
        <v>3473</v>
      </c>
      <c r="H320" s="421"/>
      <c r="I320" s="375"/>
      <c r="J320" s="375"/>
      <c r="K320" s="375"/>
      <c r="L320" s="375"/>
      <c r="M320" s="375"/>
      <c r="N320" s="375"/>
      <c r="O320" s="375"/>
      <c r="P320" s="375"/>
      <c r="Q320" s="375"/>
      <c r="R320" s="375"/>
      <c r="S320" s="375"/>
      <c r="T320" s="375"/>
      <c r="U320" s="375"/>
      <c r="V320" s="375"/>
      <c r="W320" s="375"/>
      <c r="X320" s="375"/>
      <c r="Y320" s="375"/>
      <c r="Z320" s="375"/>
      <c r="AA320" s="375"/>
      <c r="AB320" s="375"/>
      <c r="AC320" s="396"/>
      <c r="AD320" s="360"/>
      <c r="AE320" s="360"/>
      <c r="AF320" s="360"/>
      <c r="AG320" s="360"/>
      <c r="AH320" s="360"/>
      <c r="AI320" s="360"/>
      <c r="AJ320" s="360"/>
      <c r="AK320" s="360"/>
    </row>
    <row r="321" spans="1:37" hidden="1" x14ac:dyDescent="0.25">
      <c r="A321" s="390"/>
      <c r="B321" s="369"/>
      <c r="C321" s="369"/>
      <c r="D321" s="385" t="s">
        <v>810</v>
      </c>
      <c r="E321" s="382">
        <v>5.6</v>
      </c>
      <c r="F321" s="383">
        <v>6.6</v>
      </c>
      <c r="G321" s="384">
        <v>6.7</v>
      </c>
      <c r="H321" s="421"/>
      <c r="I321" s="375"/>
      <c r="J321" s="375"/>
      <c r="K321" s="375"/>
      <c r="L321" s="375"/>
      <c r="M321" s="375"/>
      <c r="N321" s="375"/>
      <c r="O321" s="375"/>
      <c r="P321" s="375"/>
      <c r="Q321" s="375"/>
      <c r="R321" s="375"/>
      <c r="S321" s="375"/>
      <c r="T321" s="375"/>
      <c r="U321" s="375"/>
      <c r="V321" s="375"/>
      <c r="W321" s="375"/>
      <c r="X321" s="375"/>
      <c r="Y321" s="375"/>
      <c r="Z321" s="375"/>
      <c r="AA321" s="375"/>
      <c r="AB321" s="375"/>
      <c r="AC321" s="396"/>
      <c r="AD321" s="360"/>
      <c r="AE321" s="360"/>
      <c r="AF321" s="360"/>
      <c r="AG321" s="360"/>
      <c r="AH321" s="360"/>
      <c r="AI321" s="360"/>
      <c r="AJ321" s="360"/>
      <c r="AK321" s="360"/>
    </row>
    <row r="322" spans="1:37" hidden="1" x14ac:dyDescent="0.25">
      <c r="A322" s="390"/>
      <c r="B322" s="369"/>
      <c r="C322" s="369"/>
      <c r="D322" s="385" t="s">
        <v>806</v>
      </c>
      <c r="E322" s="382">
        <v>9.6999999999999993</v>
      </c>
      <c r="F322" s="383">
        <v>5.3</v>
      </c>
      <c r="G322" s="384">
        <v>7.1</v>
      </c>
      <c r="H322" s="421"/>
      <c r="I322" s="375"/>
      <c r="J322" s="375"/>
      <c r="K322" s="375"/>
      <c r="L322" s="375"/>
      <c r="M322" s="375"/>
      <c r="N322" s="375"/>
      <c r="O322" s="375"/>
      <c r="P322" s="375"/>
      <c r="Q322" s="375"/>
      <c r="R322" s="375"/>
      <c r="S322" s="375"/>
      <c r="T322" s="375"/>
      <c r="U322" s="375"/>
      <c r="V322" s="375"/>
      <c r="W322" s="375"/>
      <c r="X322" s="375"/>
      <c r="Y322" s="375"/>
      <c r="Z322" s="375"/>
      <c r="AA322" s="375"/>
      <c r="AB322" s="375"/>
      <c r="AC322" s="396"/>
      <c r="AD322" s="360"/>
      <c r="AE322" s="360"/>
      <c r="AF322" s="360"/>
      <c r="AG322" s="360"/>
      <c r="AH322" s="360"/>
      <c r="AI322" s="360"/>
      <c r="AJ322" s="360"/>
      <c r="AK322" s="360"/>
    </row>
    <row r="323" spans="1:37" hidden="1" x14ac:dyDescent="0.25">
      <c r="A323" s="390"/>
      <c r="B323" s="369"/>
      <c r="C323" s="369"/>
      <c r="D323" s="385" t="s">
        <v>689</v>
      </c>
      <c r="E323" s="382">
        <v>8.4</v>
      </c>
      <c r="F323" s="383">
        <v>7.3</v>
      </c>
      <c r="G323" s="384">
        <v>7.2</v>
      </c>
      <c r="H323" s="421"/>
      <c r="I323" s="375"/>
      <c r="J323" s="375"/>
      <c r="K323" s="375"/>
      <c r="L323" s="375"/>
      <c r="M323" s="375"/>
      <c r="N323" s="375"/>
      <c r="O323" s="375"/>
      <c r="P323" s="375"/>
      <c r="Q323" s="375"/>
      <c r="R323" s="375"/>
      <c r="S323" s="375"/>
      <c r="T323" s="375"/>
      <c r="U323" s="375"/>
      <c r="V323" s="375"/>
      <c r="W323" s="375"/>
      <c r="X323" s="375"/>
      <c r="Y323" s="375"/>
      <c r="Z323" s="375"/>
      <c r="AA323" s="375"/>
      <c r="AB323" s="375"/>
      <c r="AC323" s="396"/>
      <c r="AD323" s="360"/>
      <c r="AE323" s="360"/>
      <c r="AF323" s="360"/>
      <c r="AG323" s="360"/>
      <c r="AH323" s="360"/>
      <c r="AI323" s="360"/>
      <c r="AJ323" s="360"/>
      <c r="AK323" s="360"/>
    </row>
    <row r="324" spans="1:37" hidden="1" x14ac:dyDescent="0.25">
      <c r="A324" s="390"/>
      <c r="B324" s="369"/>
      <c r="C324" s="369"/>
      <c r="D324" s="385" t="s">
        <v>807</v>
      </c>
      <c r="E324" s="382"/>
      <c r="F324" s="383">
        <v>10</v>
      </c>
      <c r="G324" s="384">
        <v>13.5</v>
      </c>
      <c r="H324" s="421"/>
      <c r="I324" s="375"/>
      <c r="J324" s="375"/>
      <c r="K324" s="375"/>
      <c r="L324" s="375"/>
      <c r="M324" s="375"/>
      <c r="N324" s="375"/>
      <c r="O324" s="375"/>
      <c r="P324" s="375"/>
      <c r="Q324" s="375"/>
      <c r="R324" s="375"/>
      <c r="S324" s="375"/>
      <c r="T324" s="375"/>
      <c r="U324" s="375"/>
      <c r="V324" s="375"/>
      <c r="W324" s="375"/>
      <c r="X324" s="375"/>
      <c r="Y324" s="375"/>
      <c r="Z324" s="375"/>
      <c r="AA324" s="375"/>
      <c r="AB324" s="375"/>
      <c r="AC324" s="396"/>
      <c r="AD324" s="360"/>
      <c r="AE324" s="360"/>
      <c r="AF324" s="360"/>
      <c r="AG324" s="360"/>
      <c r="AH324" s="360"/>
      <c r="AI324" s="360"/>
      <c r="AJ324" s="360"/>
      <c r="AK324" s="360"/>
    </row>
    <row r="325" spans="1:37" hidden="1" x14ac:dyDescent="0.25">
      <c r="A325" s="390"/>
      <c r="B325" s="369"/>
      <c r="C325" s="369"/>
      <c r="D325" s="385" t="s">
        <v>809</v>
      </c>
      <c r="E325" s="382">
        <v>19.100000000000001</v>
      </c>
      <c r="F325" s="383">
        <v>19.100000000000001</v>
      </c>
      <c r="G325" s="384">
        <v>20.8</v>
      </c>
      <c r="H325" s="421"/>
      <c r="I325" s="375"/>
      <c r="J325" s="375"/>
      <c r="K325" s="375"/>
      <c r="L325" s="375"/>
      <c r="M325" s="375"/>
      <c r="N325" s="375"/>
      <c r="O325" s="375"/>
      <c r="P325" s="375"/>
      <c r="Q325" s="375"/>
      <c r="R325" s="375"/>
      <c r="S325" s="375"/>
      <c r="T325" s="375"/>
      <c r="U325" s="375"/>
      <c r="V325" s="375"/>
      <c r="W325" s="375"/>
      <c r="X325" s="375"/>
      <c r="Y325" s="375"/>
      <c r="Z325" s="375"/>
      <c r="AA325" s="375"/>
      <c r="AB325" s="375"/>
      <c r="AC325" s="396"/>
      <c r="AD325" s="360"/>
      <c r="AE325" s="360"/>
      <c r="AF325" s="360"/>
      <c r="AG325" s="360"/>
      <c r="AH325" s="360"/>
      <c r="AI325" s="360"/>
      <c r="AJ325" s="360"/>
      <c r="AK325" s="360"/>
    </row>
    <row r="326" spans="1:37" s="386" customFormat="1" hidden="1" x14ac:dyDescent="0.25">
      <c r="A326" s="409"/>
      <c r="B326" s="406"/>
      <c r="C326" s="406"/>
      <c r="D326" s="406"/>
      <c r="E326" s="407">
        <v>2015</v>
      </c>
      <c r="F326" s="407">
        <v>2016</v>
      </c>
      <c r="G326" s="407">
        <v>2017</v>
      </c>
      <c r="H326" s="407"/>
      <c r="I326" s="407"/>
      <c r="J326" s="407"/>
      <c r="K326" s="407"/>
      <c r="L326" s="407"/>
      <c r="M326" s="407"/>
      <c r="N326" s="407"/>
      <c r="O326" s="407"/>
      <c r="P326" s="407"/>
      <c r="Q326" s="407"/>
      <c r="R326" s="407"/>
      <c r="S326" s="407"/>
      <c r="T326" s="407"/>
      <c r="U326" s="407"/>
      <c r="V326" s="407"/>
      <c r="W326" s="407"/>
      <c r="X326" s="407"/>
      <c r="Y326" s="407"/>
      <c r="Z326" s="407"/>
      <c r="AA326" s="407"/>
      <c r="AB326" s="407"/>
      <c r="AC326" s="413"/>
    </row>
    <row r="327" spans="1:37" x14ac:dyDescent="0.25">
      <c r="A327" s="422" t="s">
        <v>601</v>
      </c>
      <c r="B327" s="648" t="s">
        <v>828</v>
      </c>
      <c r="C327" s="436" t="s">
        <v>1615</v>
      </c>
      <c r="D327" s="436" t="s">
        <v>904</v>
      </c>
      <c r="E327" s="420">
        <f>42290.37*0.4365</f>
        <v>18459.746505000003</v>
      </c>
      <c r="F327" s="420">
        <f>44294.649*0.4365</f>
        <v>19334.614288499997</v>
      </c>
      <c r="G327" s="420">
        <f>45451.398*0.4365</f>
        <v>19839.535227</v>
      </c>
      <c r="H327" s="421">
        <v>2015</v>
      </c>
      <c r="I327" s="421">
        <v>18.459746504999998</v>
      </c>
      <c r="J327" s="421">
        <v>2015</v>
      </c>
      <c r="K327" s="411">
        <v>22.3218</v>
      </c>
      <c r="L327" s="427">
        <f>Table14[[#This Row],[Data reference value]]+Table14[[#This Row],[Data reference value]]*Table14[[#This Row],[Ambitious target improvement rate 2030]]</f>
        <v>16.613771854499998</v>
      </c>
      <c r="M327" s="427">
        <v>-0.1</v>
      </c>
      <c r="N327" s="421">
        <f>(Table14[[#This Row],[Ambitious target 2030]]-Table14[[#This Row],[Model reference value]])*0.5+Table14[[#This Row],[Model reference value]]</f>
        <v>19.467785927249999</v>
      </c>
      <c r="O327" s="421">
        <f>(Table14[[#This Row],[Ambitious target 2030]]-Table14[[#This Row],[Model reference value]])*0.25+Table14[[#This Row],[Model reference value]]</f>
        <v>20.894792963625001</v>
      </c>
      <c r="P327" s="421">
        <f>Table14[[#This Row],[Model reference value]]</f>
        <v>22.3218</v>
      </c>
      <c r="Q327" s="421">
        <f>Table14[[#This Row],[Data reference value]]+Table14[[#This Row],[Data reference value]]*Table14[[#This Row],[Ambitious target improvement rate 2050]]</f>
        <v>14.767797203999999</v>
      </c>
      <c r="R327" s="421">
        <v>-0.2</v>
      </c>
      <c r="S327" s="421">
        <f>(Table14[[#This Row],[Ambitious target 2050]]-Table14[[#This Row],[Model reference value]])*0.5+Table14[[#This Row],[Model reference value]]</f>
        <v>18.544798602</v>
      </c>
      <c r="T327" s="421">
        <f>(Table14[[#This Row],[Ambitious target 2050]]-Table14[[#This Row],[Model reference value]])*0.25+Table14[[#This Row],[Model reference value]]</f>
        <v>20.433299300999998</v>
      </c>
      <c r="U327" s="421">
        <f>Table14[[#This Row],[Worst value 2030]]</f>
        <v>22.3218</v>
      </c>
      <c r="V327" s="421">
        <f>Table14[[#This Row],[Data reference value]]+Table14[[#This Row],[Data reference value]]*Table14[[#This Row],[Ambitious target improvement rate 2100]]</f>
        <v>12.9218225535</v>
      </c>
      <c r="W327" s="421">
        <v>-0.3</v>
      </c>
      <c r="X327" s="421">
        <f>(Table14[[#This Row],[Ambitious target 2100]]-Table14[[#This Row],[Model reference value]])*0.5+Table14[[#This Row],[Model reference value]]</f>
        <v>17.621811276750002</v>
      </c>
      <c r="Y327" s="421">
        <f>(Table14[[#This Row],[Ambitious target 2100]]-Table14[[#This Row],[Model reference value]])*0.25+Table14[[#This Row],[Model reference value]]</f>
        <v>19.971805638374999</v>
      </c>
      <c r="Z327" s="421">
        <f>Table14[[#This Row],[Worst value 2030]]</f>
        <v>22.3218</v>
      </c>
      <c r="AA327" s="421" t="s">
        <v>1140</v>
      </c>
      <c r="AB327" s="421" t="s">
        <v>1095</v>
      </c>
      <c r="AC327" s="419" t="s">
        <v>846</v>
      </c>
      <c r="AD327" s="371" t="s">
        <v>934</v>
      </c>
      <c r="AE327" s="360"/>
      <c r="AF327" s="360"/>
      <c r="AG327" s="360"/>
      <c r="AH327" s="360"/>
      <c r="AI327" s="360"/>
      <c r="AJ327" s="360"/>
      <c r="AK327" s="360"/>
    </row>
    <row r="328" spans="1:37" hidden="1" x14ac:dyDescent="0.25">
      <c r="A328" s="390"/>
      <c r="B328" s="369"/>
      <c r="C328" s="369"/>
      <c r="D328" s="369"/>
      <c r="E328" s="379"/>
      <c r="F328" s="380"/>
      <c r="G328" s="381"/>
      <c r="H328" s="421"/>
      <c r="I328" s="375"/>
      <c r="J328" s="375"/>
      <c r="K328" s="375"/>
      <c r="L328" s="375"/>
      <c r="M328" s="375"/>
      <c r="N328" s="375"/>
      <c r="O328" s="375"/>
      <c r="P328" s="375"/>
      <c r="Q328" s="375"/>
      <c r="R328" s="375"/>
      <c r="S328" s="375"/>
      <c r="T328" s="375"/>
      <c r="U328" s="375"/>
      <c r="V328" s="375"/>
      <c r="W328" s="375"/>
      <c r="X328" s="375"/>
      <c r="Y328" s="375"/>
      <c r="Z328" s="375"/>
      <c r="AA328" s="375"/>
      <c r="AB328" s="375"/>
      <c r="AC328" s="396"/>
      <c r="AD328" s="360"/>
      <c r="AE328" s="360"/>
      <c r="AF328" s="360"/>
      <c r="AG328" s="360"/>
      <c r="AH328" s="360"/>
      <c r="AI328" s="360"/>
      <c r="AJ328" s="360"/>
      <c r="AK328" s="360"/>
    </row>
    <row r="329" spans="1:37" hidden="1" x14ac:dyDescent="0.25">
      <c r="A329" s="390"/>
      <c r="B329" s="369"/>
      <c r="C329" s="369"/>
      <c r="D329" s="369"/>
      <c r="E329" s="379"/>
      <c r="F329" s="380"/>
      <c r="G329" s="381"/>
      <c r="H329" s="421"/>
      <c r="I329" s="375"/>
      <c r="J329" s="375"/>
      <c r="K329" s="375"/>
      <c r="L329" s="375"/>
      <c r="M329" s="375"/>
      <c r="N329" s="375"/>
      <c r="O329" s="375"/>
      <c r="P329" s="375"/>
      <c r="Q329" s="375"/>
      <c r="R329" s="375"/>
      <c r="S329" s="375"/>
      <c r="T329" s="375"/>
      <c r="U329" s="375"/>
      <c r="V329" s="375"/>
      <c r="W329" s="375"/>
      <c r="X329" s="375"/>
      <c r="Y329" s="375"/>
      <c r="Z329" s="375"/>
      <c r="AA329" s="375"/>
      <c r="AB329" s="375"/>
      <c r="AC329" s="396"/>
      <c r="AD329" s="360"/>
      <c r="AE329" s="360"/>
      <c r="AF329" s="360"/>
      <c r="AG329" s="360"/>
      <c r="AH329" s="360"/>
      <c r="AI329" s="360"/>
      <c r="AJ329" s="360"/>
      <c r="AK329" s="360"/>
    </row>
    <row r="330" spans="1:37" hidden="1" x14ac:dyDescent="0.25">
      <c r="A330" s="390"/>
      <c r="B330" s="369"/>
      <c r="C330" s="369"/>
      <c r="D330" s="369"/>
      <c r="E330" s="379"/>
      <c r="F330" s="380"/>
      <c r="G330" s="381"/>
      <c r="H330" s="421"/>
      <c r="I330" s="375"/>
      <c r="J330" s="375"/>
      <c r="K330" s="375"/>
      <c r="L330" s="375"/>
      <c r="M330" s="375"/>
      <c r="N330" s="375"/>
      <c r="O330" s="375"/>
      <c r="P330" s="375"/>
      <c r="Q330" s="375"/>
      <c r="R330" s="375"/>
      <c r="S330" s="375"/>
      <c r="T330" s="375"/>
      <c r="U330" s="375"/>
      <c r="V330" s="375"/>
      <c r="W330" s="375"/>
      <c r="X330" s="375"/>
      <c r="Y330" s="375"/>
      <c r="Z330" s="375"/>
      <c r="AA330" s="375"/>
      <c r="AB330" s="375"/>
      <c r="AC330" s="396"/>
      <c r="AD330" s="360"/>
      <c r="AE330" s="360"/>
      <c r="AF330" s="360"/>
      <c r="AG330" s="360"/>
      <c r="AH330" s="360"/>
      <c r="AI330" s="360"/>
      <c r="AJ330" s="360"/>
      <c r="AK330" s="360"/>
    </row>
    <row r="331" spans="1:37" hidden="1" x14ac:dyDescent="0.25">
      <c r="A331" s="390"/>
      <c r="B331" s="369"/>
      <c r="C331" s="369"/>
      <c r="D331" s="369"/>
      <c r="E331" s="379"/>
      <c r="F331" s="380"/>
      <c r="G331" s="381"/>
      <c r="H331" s="421"/>
      <c r="I331" s="375"/>
      <c r="J331" s="375"/>
      <c r="K331" s="375"/>
      <c r="L331" s="375"/>
      <c r="M331" s="375"/>
      <c r="N331" s="375"/>
      <c r="O331" s="375"/>
      <c r="P331" s="375"/>
      <c r="Q331" s="375"/>
      <c r="R331" s="375"/>
      <c r="S331" s="375"/>
      <c r="T331" s="375"/>
      <c r="U331" s="375"/>
      <c r="V331" s="375"/>
      <c r="W331" s="375"/>
      <c r="X331" s="375"/>
      <c r="Y331" s="375"/>
      <c r="Z331" s="375"/>
      <c r="AA331" s="375"/>
      <c r="AB331" s="375"/>
      <c r="AC331" s="396"/>
      <c r="AD331" s="360"/>
      <c r="AE331" s="360"/>
      <c r="AF331" s="360"/>
      <c r="AG331" s="360"/>
      <c r="AH331" s="360"/>
      <c r="AI331" s="360"/>
      <c r="AJ331" s="360"/>
      <c r="AK331" s="360"/>
    </row>
    <row r="332" spans="1:37" hidden="1" x14ac:dyDescent="0.25">
      <c r="A332" s="390"/>
      <c r="B332" s="369"/>
      <c r="C332" s="369"/>
      <c r="D332" s="369"/>
      <c r="E332" s="379"/>
      <c r="F332" s="380"/>
      <c r="G332" s="381"/>
      <c r="H332" s="421"/>
      <c r="I332" s="375"/>
      <c r="J332" s="375"/>
      <c r="K332" s="375"/>
      <c r="L332" s="375"/>
      <c r="M332" s="375"/>
      <c r="N332" s="375"/>
      <c r="O332" s="375"/>
      <c r="P332" s="375"/>
      <c r="Q332" s="375"/>
      <c r="R332" s="375"/>
      <c r="S332" s="375"/>
      <c r="T332" s="375"/>
      <c r="U332" s="375"/>
      <c r="V332" s="375"/>
      <c r="W332" s="375"/>
      <c r="X332" s="375"/>
      <c r="Y332" s="375"/>
      <c r="Z332" s="375"/>
      <c r="AA332" s="375"/>
      <c r="AB332" s="375"/>
      <c r="AC332" s="396"/>
      <c r="AD332" s="360"/>
      <c r="AE332" s="360"/>
      <c r="AF332" s="360"/>
      <c r="AG332" s="360"/>
      <c r="AH332" s="360"/>
      <c r="AI332" s="360"/>
      <c r="AJ332" s="360"/>
      <c r="AK332" s="360"/>
    </row>
    <row r="333" spans="1:37" hidden="1" x14ac:dyDescent="0.25">
      <c r="A333" s="390"/>
      <c r="B333" s="369"/>
      <c r="C333" s="369"/>
      <c r="D333" s="369"/>
      <c r="E333" s="382"/>
      <c r="F333" s="383"/>
      <c r="G333" s="384"/>
      <c r="H333" s="421"/>
      <c r="I333" s="375"/>
      <c r="J333" s="375"/>
      <c r="K333" s="375"/>
      <c r="L333" s="375"/>
      <c r="M333" s="375"/>
      <c r="N333" s="375"/>
      <c r="O333" s="375"/>
      <c r="P333" s="375"/>
      <c r="Q333" s="375"/>
      <c r="R333" s="375"/>
      <c r="S333" s="375"/>
      <c r="T333" s="375"/>
      <c r="U333" s="375"/>
      <c r="V333" s="375"/>
      <c r="W333" s="375"/>
      <c r="X333" s="375"/>
      <c r="Y333" s="375"/>
      <c r="Z333" s="375"/>
      <c r="AA333" s="375"/>
      <c r="AB333" s="375"/>
      <c r="AC333" s="396"/>
      <c r="AD333" s="360"/>
      <c r="AE333" s="360"/>
      <c r="AF333" s="360"/>
      <c r="AG333" s="360"/>
      <c r="AH333" s="360"/>
      <c r="AI333" s="360"/>
      <c r="AJ333" s="360"/>
      <c r="AK333" s="360"/>
    </row>
    <row r="334" spans="1:37" hidden="1" x14ac:dyDescent="0.25">
      <c r="A334" s="390"/>
      <c r="B334" s="369"/>
      <c r="C334" s="369"/>
      <c r="D334" s="369"/>
      <c r="E334" s="382"/>
      <c r="F334" s="383"/>
      <c r="G334" s="384"/>
      <c r="H334" s="421"/>
      <c r="I334" s="375"/>
      <c r="J334" s="375"/>
      <c r="K334" s="375"/>
      <c r="L334" s="375"/>
      <c r="M334" s="375"/>
      <c r="N334" s="375"/>
      <c r="O334" s="375"/>
      <c r="P334" s="375"/>
      <c r="Q334" s="375"/>
      <c r="R334" s="375"/>
      <c r="S334" s="375"/>
      <c r="T334" s="375"/>
      <c r="U334" s="375"/>
      <c r="V334" s="375"/>
      <c r="W334" s="375"/>
      <c r="X334" s="375"/>
      <c r="Y334" s="375"/>
      <c r="Z334" s="375"/>
      <c r="AA334" s="375"/>
      <c r="AB334" s="375"/>
      <c r="AC334" s="396"/>
      <c r="AD334" s="360"/>
      <c r="AE334" s="360"/>
      <c r="AF334" s="360"/>
      <c r="AG334" s="360"/>
      <c r="AH334" s="360"/>
      <c r="AI334" s="360"/>
      <c r="AJ334" s="360"/>
      <c r="AK334" s="360"/>
    </row>
    <row r="335" spans="1:37" hidden="1" x14ac:dyDescent="0.25">
      <c r="A335" s="390"/>
      <c r="B335" s="369"/>
      <c r="C335" s="369"/>
      <c r="D335" s="369"/>
      <c r="E335" s="382"/>
      <c r="F335" s="383"/>
      <c r="G335" s="384"/>
      <c r="H335" s="421"/>
      <c r="I335" s="375"/>
      <c r="J335" s="375"/>
      <c r="K335" s="375"/>
      <c r="L335" s="375"/>
      <c r="M335" s="375"/>
      <c r="N335" s="375"/>
      <c r="O335" s="375"/>
      <c r="P335" s="375"/>
      <c r="Q335" s="375"/>
      <c r="R335" s="375"/>
      <c r="S335" s="375"/>
      <c r="T335" s="375"/>
      <c r="U335" s="375"/>
      <c r="V335" s="375"/>
      <c r="W335" s="375"/>
      <c r="X335" s="375"/>
      <c r="Y335" s="375"/>
      <c r="Z335" s="375"/>
      <c r="AA335" s="375"/>
      <c r="AB335" s="375"/>
      <c r="AC335" s="396"/>
      <c r="AD335" s="360"/>
      <c r="AE335" s="360"/>
      <c r="AF335" s="360"/>
      <c r="AG335" s="360"/>
      <c r="AH335" s="360"/>
      <c r="AI335" s="360"/>
      <c r="AJ335" s="360"/>
      <c r="AK335" s="360"/>
    </row>
    <row r="336" spans="1:37" hidden="1" x14ac:dyDescent="0.25">
      <c r="A336" s="390"/>
      <c r="B336" s="369"/>
      <c r="C336" s="369"/>
      <c r="D336" s="369"/>
      <c r="E336" s="382"/>
      <c r="F336" s="383"/>
      <c r="G336" s="384"/>
      <c r="H336" s="421"/>
      <c r="I336" s="375"/>
      <c r="J336" s="375"/>
      <c r="K336" s="375"/>
      <c r="L336" s="375"/>
      <c r="M336" s="375"/>
      <c r="N336" s="375"/>
      <c r="O336" s="375"/>
      <c r="P336" s="375"/>
      <c r="Q336" s="375"/>
      <c r="R336" s="375"/>
      <c r="S336" s="375"/>
      <c r="T336" s="375"/>
      <c r="U336" s="375"/>
      <c r="V336" s="375"/>
      <c r="W336" s="375"/>
      <c r="X336" s="375"/>
      <c r="Y336" s="375"/>
      <c r="Z336" s="375"/>
      <c r="AA336" s="375"/>
      <c r="AB336" s="375"/>
      <c r="AC336" s="396"/>
      <c r="AD336" s="360"/>
      <c r="AE336" s="360"/>
      <c r="AF336" s="360"/>
      <c r="AG336" s="360"/>
      <c r="AH336" s="360"/>
      <c r="AI336" s="360"/>
      <c r="AJ336" s="360"/>
      <c r="AK336" s="360"/>
    </row>
    <row r="337" spans="1:37" hidden="1" x14ac:dyDescent="0.25">
      <c r="A337" s="390"/>
      <c r="B337" s="369"/>
      <c r="C337" s="369"/>
      <c r="D337" s="369"/>
      <c r="E337" s="382"/>
      <c r="F337" s="383"/>
      <c r="G337" s="384"/>
      <c r="H337" s="421"/>
      <c r="I337" s="375"/>
      <c r="J337" s="375"/>
      <c r="K337" s="375"/>
      <c r="L337" s="375"/>
      <c r="M337" s="375"/>
      <c r="N337" s="375"/>
      <c r="O337" s="375"/>
      <c r="P337" s="375"/>
      <c r="Q337" s="375"/>
      <c r="R337" s="375"/>
      <c r="S337" s="375"/>
      <c r="T337" s="375"/>
      <c r="U337" s="375"/>
      <c r="V337" s="375"/>
      <c r="W337" s="375"/>
      <c r="X337" s="375"/>
      <c r="Y337" s="375"/>
      <c r="Z337" s="375"/>
      <c r="AA337" s="375"/>
      <c r="AB337" s="375"/>
      <c r="AC337" s="396"/>
      <c r="AD337" s="360"/>
      <c r="AE337" s="360"/>
      <c r="AF337" s="360"/>
      <c r="AG337" s="360"/>
      <c r="AH337" s="360"/>
      <c r="AI337" s="360"/>
      <c r="AJ337" s="360"/>
      <c r="AK337" s="360"/>
    </row>
    <row r="338" spans="1:37" s="386" customFormat="1" hidden="1" x14ac:dyDescent="0.25">
      <c r="A338" s="409"/>
      <c r="B338" s="406"/>
      <c r="C338" s="406"/>
      <c r="D338" s="406"/>
      <c r="E338" s="407">
        <v>2012</v>
      </c>
      <c r="F338" s="407">
        <v>2013</v>
      </c>
      <c r="G338" s="407">
        <v>2014</v>
      </c>
      <c r="H338" s="407"/>
      <c r="I338" s="407"/>
      <c r="J338" s="407"/>
      <c r="K338" s="407"/>
      <c r="L338" s="407"/>
      <c r="M338" s="407"/>
      <c r="N338" s="407"/>
      <c r="O338" s="407"/>
      <c r="P338" s="407"/>
      <c r="Q338" s="407"/>
      <c r="R338" s="407"/>
      <c r="S338" s="407"/>
      <c r="T338" s="407"/>
      <c r="U338" s="407"/>
      <c r="V338" s="407"/>
      <c r="W338" s="407"/>
      <c r="X338" s="407"/>
      <c r="Y338" s="407"/>
      <c r="Z338" s="407"/>
      <c r="AA338" s="407"/>
      <c r="AB338" s="407"/>
      <c r="AC338" s="413"/>
    </row>
    <row r="339" spans="1:37" x14ac:dyDescent="0.25">
      <c r="A339" s="422" t="s">
        <v>608</v>
      </c>
      <c r="B339" s="436" t="s">
        <v>1136</v>
      </c>
      <c r="C339" s="436" t="s">
        <v>1137</v>
      </c>
      <c r="D339" s="436" t="s">
        <v>904</v>
      </c>
      <c r="E339" s="420">
        <v>393.01599270000003</v>
      </c>
      <c r="F339" s="420">
        <v>395.72497929999997</v>
      </c>
      <c r="G339" s="420">
        <v>397.5469769</v>
      </c>
      <c r="H339" s="421">
        <v>2014</v>
      </c>
      <c r="I339" s="421">
        <v>397.5469769</v>
      </c>
      <c r="J339" s="421">
        <v>2015</v>
      </c>
      <c r="K339" s="421">
        <v>419.10700000000003</v>
      </c>
      <c r="L339" s="430">
        <f>Table14[[#This Row],[Model reference value]]+((480-397)/85)*15</f>
        <v>433.75405882352942</v>
      </c>
      <c r="M339" s="430"/>
      <c r="N339" s="430">
        <f>Table14[[#This Row],[Model reference value]]+((580-403)/85)*15</f>
        <v>450.3422941176471</v>
      </c>
      <c r="O339" s="430">
        <f>Table14[[#This Row],[Model reference value]]+((650-403)/85)*15</f>
        <v>462.69523529411765</v>
      </c>
      <c r="P339" s="430">
        <f>Table14[[#This Row],[Model reference value]]+((720-403)/85)*15</f>
        <v>475.04817647058826</v>
      </c>
      <c r="Q339" s="430">
        <f>Table14[[#This Row],[Model reference value]]+((480-397)/85)*35</f>
        <v>453.28347058823533</v>
      </c>
      <c r="R339" s="430"/>
      <c r="S339" s="430">
        <f>Table14[[#This Row],[Model reference value]]+((580-403)/85)*35</f>
        <v>491.98935294117649</v>
      </c>
      <c r="T339" s="430">
        <f>Table14[[#This Row],[Model reference value]]+((650-403)/85)*35</f>
        <v>520.81288235294119</v>
      </c>
      <c r="U339" s="430">
        <f>Table14[[#This Row],[Model reference value]]+((720-403)/85)*35</f>
        <v>549.63641176470594</v>
      </c>
      <c r="V339" s="430">
        <v>480</v>
      </c>
      <c r="W339" s="430"/>
      <c r="X339" s="430">
        <v>580</v>
      </c>
      <c r="Y339" s="430">
        <v>650</v>
      </c>
      <c r="Z339" s="430">
        <f>Table14[[#This Row],[Model reference value]]+((720-403)/85)*85</f>
        <v>736.10699999999997</v>
      </c>
      <c r="AA339" s="421" t="s">
        <v>985</v>
      </c>
      <c r="AB339" s="421" t="s">
        <v>1197</v>
      </c>
      <c r="AC339" s="411"/>
      <c r="AD339" s="377" t="s">
        <v>873</v>
      </c>
      <c r="AE339" s="377" t="s">
        <v>874</v>
      </c>
      <c r="AF339" s="371" t="s">
        <v>1196</v>
      </c>
      <c r="AG339" s="360"/>
      <c r="AH339" s="360"/>
      <c r="AI339" s="360"/>
      <c r="AJ339" s="360"/>
      <c r="AK339" s="360"/>
    </row>
    <row r="340" spans="1:37" hidden="1" x14ac:dyDescent="0.25">
      <c r="A340" s="390"/>
      <c r="B340" s="369"/>
      <c r="C340" s="369"/>
      <c r="D340" s="372"/>
      <c r="E340" s="379"/>
      <c r="F340" s="380"/>
      <c r="G340" s="381"/>
      <c r="H340" s="375"/>
      <c r="I340" s="375"/>
      <c r="J340" s="375"/>
      <c r="K340" s="375"/>
      <c r="L340" s="375"/>
      <c r="M340" s="375"/>
      <c r="N340" s="431"/>
      <c r="O340" s="431"/>
      <c r="P340" s="431"/>
      <c r="Q340" s="431"/>
      <c r="R340" s="431"/>
      <c r="S340" s="431"/>
      <c r="T340" s="431"/>
      <c r="U340" s="431"/>
      <c r="V340" s="431"/>
      <c r="W340" s="431"/>
      <c r="X340" s="431"/>
      <c r="Y340" s="431"/>
      <c r="Z340" s="431"/>
      <c r="AA340" s="375"/>
      <c r="AB340" s="375"/>
      <c r="AC340" s="396"/>
      <c r="AD340" s="377"/>
      <c r="AE340" s="377"/>
      <c r="AF340" s="360"/>
      <c r="AG340" s="360"/>
      <c r="AH340" s="360"/>
      <c r="AI340" s="360"/>
      <c r="AJ340" s="360"/>
      <c r="AK340" s="360"/>
    </row>
    <row r="341" spans="1:37" hidden="1" x14ac:dyDescent="0.25">
      <c r="A341" s="390"/>
      <c r="B341" s="369"/>
      <c r="C341" s="369"/>
      <c r="D341" s="372"/>
      <c r="E341" s="379"/>
      <c r="F341" s="380"/>
      <c r="G341" s="381"/>
      <c r="H341" s="375"/>
      <c r="I341" s="375"/>
      <c r="J341" s="375"/>
      <c r="K341" s="375"/>
      <c r="L341" s="375"/>
      <c r="M341" s="375"/>
      <c r="N341" s="431"/>
      <c r="O341" s="431"/>
      <c r="P341" s="431"/>
      <c r="Q341" s="431"/>
      <c r="R341" s="431"/>
      <c r="S341" s="431"/>
      <c r="T341" s="431"/>
      <c r="U341" s="431"/>
      <c r="V341" s="431"/>
      <c r="W341" s="431"/>
      <c r="X341" s="431"/>
      <c r="Y341" s="431"/>
      <c r="Z341" s="431"/>
      <c r="AA341" s="375"/>
      <c r="AB341" s="375"/>
      <c r="AC341" s="396"/>
      <c r="AD341" s="377"/>
      <c r="AE341" s="377"/>
      <c r="AF341" s="360"/>
      <c r="AG341" s="360"/>
      <c r="AH341" s="360"/>
      <c r="AI341" s="360"/>
      <c r="AJ341" s="360"/>
      <c r="AK341" s="360"/>
    </row>
    <row r="342" spans="1:37" hidden="1" x14ac:dyDescent="0.25">
      <c r="A342" s="390"/>
      <c r="B342" s="369"/>
      <c r="C342" s="369"/>
      <c r="D342" s="372"/>
      <c r="E342" s="379"/>
      <c r="F342" s="380"/>
      <c r="G342" s="381"/>
      <c r="H342" s="375"/>
      <c r="I342" s="375"/>
      <c r="J342" s="375"/>
      <c r="K342" s="375"/>
      <c r="L342" s="375"/>
      <c r="M342" s="375"/>
      <c r="N342" s="431"/>
      <c r="O342" s="431"/>
      <c r="P342" s="431"/>
      <c r="Q342" s="431"/>
      <c r="R342" s="431"/>
      <c r="S342" s="431"/>
      <c r="T342" s="431"/>
      <c r="U342" s="431"/>
      <c r="V342" s="431"/>
      <c r="W342" s="431"/>
      <c r="X342" s="431"/>
      <c r="Y342" s="431"/>
      <c r="Z342" s="431"/>
      <c r="AA342" s="375"/>
      <c r="AB342" s="375"/>
      <c r="AC342" s="396"/>
      <c r="AD342" s="377"/>
      <c r="AE342" s="377"/>
      <c r="AF342" s="360"/>
      <c r="AG342" s="360"/>
      <c r="AH342" s="360"/>
      <c r="AI342" s="360"/>
      <c r="AJ342" s="360"/>
      <c r="AK342" s="360"/>
    </row>
    <row r="343" spans="1:37" hidden="1" x14ac:dyDescent="0.25">
      <c r="A343" s="390"/>
      <c r="B343" s="369"/>
      <c r="C343" s="369"/>
      <c r="D343" s="372"/>
      <c r="E343" s="379"/>
      <c r="F343" s="380"/>
      <c r="G343" s="381"/>
      <c r="H343" s="375"/>
      <c r="I343" s="375"/>
      <c r="J343" s="375"/>
      <c r="K343" s="375"/>
      <c r="L343" s="375"/>
      <c r="M343" s="375"/>
      <c r="N343" s="431"/>
      <c r="O343" s="431"/>
      <c r="P343" s="431"/>
      <c r="Q343" s="431"/>
      <c r="R343" s="431"/>
      <c r="S343" s="431"/>
      <c r="T343" s="431"/>
      <c r="U343" s="431"/>
      <c r="V343" s="431"/>
      <c r="W343" s="431"/>
      <c r="X343" s="431"/>
      <c r="Y343" s="431"/>
      <c r="Z343" s="431"/>
      <c r="AA343" s="375"/>
      <c r="AB343" s="375"/>
      <c r="AC343" s="396"/>
      <c r="AD343" s="377">
        <v>1</v>
      </c>
      <c r="AE343" s="377"/>
      <c r="AF343" s="360"/>
      <c r="AG343" s="360"/>
      <c r="AH343" s="360"/>
      <c r="AI343" s="360"/>
      <c r="AJ343" s="360"/>
      <c r="AK343" s="360"/>
    </row>
    <row r="344" spans="1:37" hidden="1" x14ac:dyDescent="0.25">
      <c r="A344" s="390"/>
      <c r="B344" s="369"/>
      <c r="C344" s="369"/>
      <c r="D344" s="372"/>
      <c r="E344" s="379"/>
      <c r="F344" s="380"/>
      <c r="G344" s="381"/>
      <c r="H344" s="375"/>
      <c r="I344" s="375"/>
      <c r="J344" s="375"/>
      <c r="K344" s="375"/>
      <c r="L344" s="375"/>
      <c r="M344" s="375"/>
      <c r="N344" s="431"/>
      <c r="O344" s="431"/>
      <c r="P344" s="431"/>
      <c r="Q344" s="431"/>
      <c r="R344" s="431"/>
      <c r="S344" s="431"/>
      <c r="T344" s="431"/>
      <c r="U344" s="431"/>
      <c r="V344" s="431"/>
      <c r="W344" s="431"/>
      <c r="X344" s="431"/>
      <c r="Y344" s="431"/>
      <c r="Z344" s="431"/>
      <c r="AA344" s="375"/>
      <c r="AB344" s="375"/>
      <c r="AC344" s="396"/>
      <c r="AD344" s="377">
        <v>0.60641100000000003</v>
      </c>
      <c r="AE344" s="377"/>
      <c r="AF344" s="360">
        <f>1/0.606411</f>
        <v>1.6490466037060671</v>
      </c>
      <c r="AG344" s="360"/>
      <c r="AH344" s="360"/>
      <c r="AI344" s="360"/>
      <c r="AJ344" s="360"/>
      <c r="AK344" s="360"/>
    </row>
    <row r="345" spans="1:37" hidden="1" x14ac:dyDescent="0.25">
      <c r="A345" s="390"/>
      <c r="B345" s="369"/>
      <c r="C345" s="369"/>
      <c r="D345" s="372"/>
      <c r="E345" s="382"/>
      <c r="F345" s="383"/>
      <c r="G345" s="384"/>
      <c r="H345" s="375"/>
      <c r="I345" s="375"/>
      <c r="J345" s="375"/>
      <c r="K345" s="375"/>
      <c r="L345" s="375"/>
      <c r="M345" s="375"/>
      <c r="N345" s="431"/>
      <c r="O345" s="431"/>
      <c r="P345" s="431"/>
      <c r="Q345" s="431"/>
      <c r="R345" s="431"/>
      <c r="S345" s="431"/>
      <c r="T345" s="431"/>
      <c r="U345" s="431"/>
      <c r="V345" s="431"/>
      <c r="W345" s="431"/>
      <c r="X345" s="431"/>
      <c r="Y345" s="431"/>
      <c r="Z345" s="431"/>
      <c r="AA345" s="375"/>
      <c r="AB345" s="375"/>
      <c r="AC345" s="396"/>
      <c r="AD345" s="377"/>
      <c r="AE345" s="377"/>
      <c r="AF345" s="360"/>
      <c r="AG345" s="360"/>
      <c r="AH345" s="360"/>
      <c r="AI345" s="360"/>
      <c r="AJ345" s="360"/>
      <c r="AK345" s="360"/>
    </row>
    <row r="346" spans="1:37" hidden="1" x14ac:dyDescent="0.25">
      <c r="A346" s="390"/>
      <c r="B346" s="369"/>
      <c r="C346" s="369"/>
      <c r="D346" s="372"/>
      <c r="E346" s="382"/>
      <c r="F346" s="383"/>
      <c r="G346" s="384"/>
      <c r="H346" s="375"/>
      <c r="I346" s="375"/>
      <c r="J346" s="375"/>
      <c r="K346" s="375"/>
      <c r="L346" s="375"/>
      <c r="M346" s="375"/>
      <c r="N346" s="431"/>
      <c r="O346" s="431"/>
      <c r="P346" s="431"/>
      <c r="Q346" s="431"/>
      <c r="R346" s="431"/>
      <c r="S346" s="431"/>
      <c r="T346" s="431"/>
      <c r="U346" s="431"/>
      <c r="V346" s="431"/>
      <c r="W346" s="431"/>
      <c r="X346" s="431"/>
      <c r="Y346" s="431"/>
      <c r="Z346" s="431"/>
      <c r="AA346" s="375"/>
      <c r="AB346" s="375"/>
      <c r="AC346" s="396"/>
      <c r="AD346" s="377"/>
      <c r="AE346" s="377"/>
      <c r="AF346" s="360"/>
      <c r="AG346" s="360"/>
      <c r="AH346" s="360"/>
      <c r="AI346" s="360"/>
      <c r="AJ346" s="360"/>
      <c r="AK346" s="360"/>
    </row>
    <row r="347" spans="1:37" hidden="1" x14ac:dyDescent="0.25">
      <c r="A347" s="390"/>
      <c r="B347" s="369"/>
      <c r="C347" s="369"/>
      <c r="D347" s="372"/>
      <c r="E347" s="382"/>
      <c r="F347" s="383"/>
      <c r="G347" s="384"/>
      <c r="H347" s="375"/>
      <c r="I347" s="375"/>
      <c r="J347" s="375"/>
      <c r="K347" s="375"/>
      <c r="L347" s="375"/>
      <c r="M347" s="375"/>
      <c r="N347" s="431"/>
      <c r="O347" s="431"/>
      <c r="P347" s="431"/>
      <c r="Q347" s="431"/>
      <c r="R347" s="431"/>
      <c r="S347" s="431"/>
      <c r="T347" s="431"/>
      <c r="U347" s="431"/>
      <c r="V347" s="431"/>
      <c r="W347" s="431"/>
      <c r="X347" s="431"/>
      <c r="Y347" s="431"/>
      <c r="Z347" s="431"/>
      <c r="AA347" s="375"/>
      <c r="AB347" s="375"/>
      <c r="AC347" s="396"/>
      <c r="AD347" s="377"/>
      <c r="AE347" s="377"/>
      <c r="AF347" s="360"/>
      <c r="AG347" s="360"/>
      <c r="AH347" s="360"/>
      <c r="AI347" s="360"/>
      <c r="AJ347" s="360"/>
      <c r="AK347" s="360"/>
    </row>
    <row r="348" spans="1:37" hidden="1" x14ac:dyDescent="0.25">
      <c r="A348" s="390"/>
      <c r="B348" s="369"/>
      <c r="C348" s="369"/>
      <c r="D348" s="372"/>
      <c r="E348" s="382"/>
      <c r="F348" s="383"/>
      <c r="G348" s="384"/>
      <c r="H348" s="375"/>
      <c r="I348" s="375"/>
      <c r="J348" s="375"/>
      <c r="K348" s="375"/>
      <c r="L348" s="375"/>
      <c r="M348" s="375"/>
      <c r="N348" s="431"/>
      <c r="O348" s="431"/>
      <c r="P348" s="431"/>
      <c r="Q348" s="431"/>
      <c r="R348" s="431"/>
      <c r="S348" s="431"/>
      <c r="T348" s="431"/>
      <c r="U348" s="431"/>
      <c r="V348" s="431"/>
      <c r="W348" s="431"/>
      <c r="X348" s="431"/>
      <c r="Y348" s="431"/>
      <c r="Z348" s="431"/>
      <c r="AA348" s="375"/>
      <c r="AB348" s="375"/>
      <c r="AC348" s="396"/>
      <c r="AD348" s="377"/>
      <c r="AE348" s="377"/>
      <c r="AF348" s="360"/>
      <c r="AG348" s="360"/>
      <c r="AH348" s="360"/>
      <c r="AI348" s="360"/>
      <c r="AJ348" s="360"/>
      <c r="AK348" s="360"/>
    </row>
    <row r="349" spans="1:37" hidden="1" x14ac:dyDescent="0.25">
      <c r="A349" s="390"/>
      <c r="B349" s="369"/>
      <c r="C349" s="369"/>
      <c r="D349" s="372"/>
      <c r="E349" s="382"/>
      <c r="F349" s="383"/>
      <c r="G349" s="384"/>
      <c r="H349" s="375"/>
      <c r="I349" s="375"/>
      <c r="J349" s="375"/>
      <c r="K349" s="375"/>
      <c r="L349" s="375"/>
      <c r="M349" s="375"/>
      <c r="N349" s="431"/>
      <c r="O349" s="431"/>
      <c r="P349" s="431"/>
      <c r="Q349" s="431"/>
      <c r="R349" s="431"/>
      <c r="S349" s="431"/>
      <c r="T349" s="431"/>
      <c r="U349" s="431"/>
      <c r="V349" s="431"/>
      <c r="W349" s="431"/>
      <c r="X349" s="431"/>
      <c r="Y349" s="431"/>
      <c r="Z349" s="431"/>
      <c r="AA349" s="375"/>
      <c r="AB349" s="375"/>
      <c r="AC349" s="396"/>
      <c r="AD349" s="377"/>
      <c r="AE349" s="377"/>
      <c r="AF349" s="360"/>
      <c r="AG349" s="360"/>
      <c r="AH349" s="360"/>
      <c r="AI349" s="360"/>
      <c r="AJ349" s="360"/>
      <c r="AK349" s="360"/>
    </row>
    <row r="350" spans="1:37" hidden="1" x14ac:dyDescent="0.25">
      <c r="A350" s="409"/>
      <c r="B350" s="406"/>
      <c r="C350" s="406"/>
      <c r="D350" s="406"/>
      <c r="E350" s="407">
        <v>2015</v>
      </c>
      <c r="F350" s="407">
        <v>2016</v>
      </c>
      <c r="G350" s="407">
        <v>2017</v>
      </c>
      <c r="H350" s="407"/>
      <c r="I350" s="407"/>
      <c r="J350" s="407"/>
      <c r="K350" s="407"/>
      <c r="L350" s="407"/>
      <c r="M350" s="407"/>
      <c r="N350" s="407"/>
      <c r="O350" s="407"/>
      <c r="P350" s="407"/>
      <c r="Q350" s="407"/>
      <c r="R350" s="407"/>
      <c r="S350" s="407"/>
      <c r="T350" s="407"/>
      <c r="U350" s="407"/>
      <c r="V350" s="407"/>
      <c r="W350" s="407"/>
      <c r="X350" s="407"/>
      <c r="Y350" s="407"/>
      <c r="Z350" s="407"/>
      <c r="AA350" s="407"/>
      <c r="AB350" s="407"/>
      <c r="AC350" s="413"/>
      <c r="AD350" s="377"/>
      <c r="AE350" s="377"/>
      <c r="AF350" s="360"/>
      <c r="AG350" s="360"/>
      <c r="AH350" s="360"/>
      <c r="AI350" s="360"/>
      <c r="AJ350" s="360"/>
      <c r="AK350" s="360"/>
    </row>
    <row r="351" spans="1:37" x14ac:dyDescent="0.25">
      <c r="A351" s="422" t="s">
        <v>1102</v>
      </c>
      <c r="B351" s="648" t="s">
        <v>1611</v>
      </c>
      <c r="C351" s="436" t="s">
        <v>1616</v>
      </c>
      <c r="D351" s="436" t="s">
        <v>904</v>
      </c>
      <c r="E351" s="420">
        <v>4211322924.72716</v>
      </c>
      <c r="F351" s="420">
        <v>3473456846.8239088</v>
      </c>
      <c r="G351" s="420">
        <v>3473456846.8239088</v>
      </c>
      <c r="H351" s="421">
        <v>2015</v>
      </c>
      <c r="I351" s="421">
        <v>4.2113229247271597</v>
      </c>
      <c r="J351" s="421">
        <v>2015</v>
      </c>
      <c r="K351" s="411">
        <v>4.3635900000000003</v>
      </c>
      <c r="L351" s="421">
        <f>Table14[[#This Row],[Data reference value]]+Table14[[#This Row],[Data reference value]]*Table14[[#This Row],[Ambitious target improvement rate 2030]]</f>
        <v>4.0007567784908016</v>
      </c>
      <c r="M351" s="421">
        <v>-0.05</v>
      </c>
      <c r="N351" s="421">
        <f>(Table14[[#This Row],[Ambitious target 2030]]-Table14[[#This Row],[Model reference value]])*0.5+Table14[[#This Row],[Model reference value]]</f>
        <v>4.1821733892454009</v>
      </c>
      <c r="O351" s="421">
        <f>(Table14[[#This Row],[Ambitious target 2030]]-Table14[[#This Row],[Model reference value]])*0.25+Table14[[#This Row],[Model reference value]]</f>
        <v>4.2728816946227006</v>
      </c>
      <c r="P351" s="421">
        <f>Table14[[#This Row],[Model reference value]]</f>
        <v>4.3635900000000003</v>
      </c>
      <c r="Q351" s="421">
        <f>Table14[[#This Row],[Data reference value]]+Table14[[#This Row],[Data reference value]]*Table14[[#This Row],[Ambitious target improvement rate 2050]]</f>
        <v>3.369058339781728</v>
      </c>
      <c r="R351" s="421">
        <v>-0.2</v>
      </c>
      <c r="S351" s="421">
        <f>(Table14[[#This Row],[Ambitious target 2050]]-Table14[[#This Row],[Model reference value]])*0.5+Table14[[#This Row],[Model reference value]]</f>
        <v>3.8663241698908641</v>
      </c>
      <c r="T351" s="421">
        <f>(Table14[[#This Row],[Ambitious target 2050]]-Table14[[#This Row],[Model reference value]])*0.25+Table14[[#This Row],[Model reference value]]</f>
        <v>4.1149570849454324</v>
      </c>
      <c r="U351" s="421">
        <f>Table14[[#This Row],[Worst value 2030]]</f>
        <v>4.3635900000000003</v>
      </c>
      <c r="V351" s="421">
        <f>Table14[[#This Row],[Data reference value]]+Table14[[#This Row],[Data reference value]]*Table14[[#This Row],[Ambitious target improvement rate 2100]]</f>
        <v>2.1056614623635799</v>
      </c>
      <c r="W351" s="421">
        <v>-0.5</v>
      </c>
      <c r="X351" s="421">
        <f>(Table14[[#This Row],[Ambitious target 2100]]-Table14[[#This Row],[Model reference value]])*0.5+Table14[[#This Row],[Model reference value]]</f>
        <v>3.2346257311817901</v>
      </c>
      <c r="Y351" s="421">
        <f>(Table14[[#This Row],[Ambitious target 2100]]-Table14[[#This Row],[Model reference value]])*0.25+Table14[[#This Row],[Model reference value]]</f>
        <v>3.7991078655908952</v>
      </c>
      <c r="Z351" s="421">
        <f>Table14[[#This Row],[Worst value 2030]]</f>
        <v>4.3635900000000003</v>
      </c>
      <c r="AA351" s="421" t="s">
        <v>1140</v>
      </c>
      <c r="AB351" s="421"/>
      <c r="AC351" s="371" t="s">
        <v>1103</v>
      </c>
      <c r="AD351" s="377"/>
      <c r="AE351" s="377"/>
      <c r="AF351" s="360"/>
      <c r="AG351" s="360"/>
      <c r="AH351" s="360"/>
      <c r="AI351" s="360"/>
      <c r="AJ351" s="360"/>
      <c r="AK351" s="360"/>
    </row>
    <row r="352" spans="1:37" hidden="1" x14ac:dyDescent="0.25">
      <c r="A352" s="390"/>
      <c r="B352" s="369"/>
      <c r="C352" s="369"/>
      <c r="D352" s="369"/>
      <c r="E352" s="379"/>
      <c r="F352" s="380"/>
      <c r="G352" s="381"/>
      <c r="H352" s="421"/>
      <c r="I352" s="375"/>
      <c r="J352" s="375"/>
      <c r="K352" s="375"/>
      <c r="L352" s="375"/>
      <c r="M352" s="375"/>
      <c r="N352" s="375"/>
      <c r="O352" s="375"/>
      <c r="P352" s="375"/>
      <c r="Q352" s="375"/>
      <c r="R352" s="375"/>
      <c r="S352" s="375"/>
      <c r="T352" s="375"/>
      <c r="U352" s="375"/>
      <c r="V352" s="375"/>
      <c r="W352" s="375"/>
      <c r="X352" s="375"/>
      <c r="Y352" s="375"/>
      <c r="Z352" s="375"/>
      <c r="AA352" s="375"/>
      <c r="AB352" s="375"/>
      <c r="AC352" s="396"/>
      <c r="AD352" s="377"/>
      <c r="AE352" s="377"/>
      <c r="AF352" s="360"/>
      <c r="AG352" s="360"/>
      <c r="AH352" s="360"/>
      <c r="AI352" s="360"/>
      <c r="AJ352" s="360"/>
      <c r="AK352" s="360"/>
    </row>
    <row r="353" spans="1:37" hidden="1" x14ac:dyDescent="0.25">
      <c r="A353" s="390"/>
      <c r="B353" s="369"/>
      <c r="C353" s="369"/>
      <c r="D353" s="369"/>
      <c r="E353" s="379"/>
      <c r="F353" s="380"/>
      <c r="G353" s="381"/>
      <c r="H353" s="421"/>
      <c r="I353" s="375"/>
      <c r="J353" s="375"/>
      <c r="K353" s="375"/>
      <c r="L353" s="375"/>
      <c r="M353" s="375"/>
      <c r="N353" s="375"/>
      <c r="O353" s="375"/>
      <c r="P353" s="375"/>
      <c r="Q353" s="375"/>
      <c r="R353" s="375"/>
      <c r="S353" s="375"/>
      <c r="T353" s="375"/>
      <c r="U353" s="375"/>
      <c r="V353" s="375"/>
      <c r="W353" s="375"/>
      <c r="X353" s="375"/>
      <c r="Y353" s="375"/>
      <c r="Z353" s="375"/>
      <c r="AA353" s="375"/>
      <c r="AB353" s="375"/>
      <c r="AC353" s="396"/>
      <c r="AD353" s="377"/>
      <c r="AE353" s="377"/>
      <c r="AF353" s="360"/>
      <c r="AG353" s="360"/>
      <c r="AH353" s="360"/>
      <c r="AI353" s="360"/>
      <c r="AJ353" s="360"/>
      <c r="AK353" s="360"/>
    </row>
    <row r="354" spans="1:37" hidden="1" x14ac:dyDescent="0.25">
      <c r="A354" s="390"/>
      <c r="B354" s="369"/>
      <c r="C354" s="369"/>
      <c r="D354" s="369"/>
      <c r="E354" s="379"/>
      <c r="F354" s="380"/>
      <c r="G354" s="381"/>
      <c r="H354" s="421"/>
      <c r="I354" s="375"/>
      <c r="J354" s="375"/>
      <c r="K354" s="375"/>
      <c r="L354" s="375"/>
      <c r="M354" s="375"/>
      <c r="N354" s="375"/>
      <c r="O354" s="375"/>
      <c r="P354" s="375"/>
      <c r="Q354" s="375"/>
      <c r="R354" s="375"/>
      <c r="S354" s="375"/>
      <c r="T354" s="375"/>
      <c r="U354" s="375"/>
      <c r="V354" s="375"/>
      <c r="W354" s="375"/>
      <c r="X354" s="375"/>
      <c r="Y354" s="375"/>
      <c r="Z354" s="375"/>
      <c r="AA354" s="375"/>
      <c r="AB354" s="375"/>
      <c r="AC354" s="396"/>
      <c r="AD354" s="377"/>
      <c r="AE354" s="377"/>
      <c r="AF354" s="360"/>
      <c r="AG354" s="360"/>
      <c r="AH354" s="360"/>
      <c r="AI354" s="360"/>
      <c r="AJ354" s="360"/>
      <c r="AK354" s="360"/>
    </row>
    <row r="355" spans="1:37" hidden="1" x14ac:dyDescent="0.25">
      <c r="A355" s="390"/>
      <c r="B355" s="369"/>
      <c r="C355" s="369"/>
      <c r="D355" s="369"/>
      <c r="E355" s="379"/>
      <c r="F355" s="380"/>
      <c r="G355" s="381"/>
      <c r="H355" s="421"/>
      <c r="I355" s="375"/>
      <c r="J355" s="375"/>
      <c r="K355" s="375"/>
      <c r="L355" s="375"/>
      <c r="M355" s="375"/>
      <c r="N355" s="375"/>
      <c r="O355" s="375"/>
      <c r="P355" s="375"/>
      <c r="Q355" s="375"/>
      <c r="R355" s="375"/>
      <c r="S355" s="375"/>
      <c r="T355" s="375"/>
      <c r="U355" s="375"/>
      <c r="V355" s="375"/>
      <c r="W355" s="375"/>
      <c r="X355" s="375"/>
      <c r="Y355" s="375"/>
      <c r="Z355" s="375"/>
      <c r="AA355" s="375"/>
      <c r="AB355" s="375"/>
      <c r="AC355" s="396"/>
      <c r="AD355" s="377"/>
      <c r="AE355" s="377"/>
      <c r="AF355" s="360"/>
      <c r="AG355" s="360"/>
      <c r="AH355" s="360"/>
      <c r="AI355" s="360"/>
      <c r="AJ355" s="360"/>
      <c r="AK355" s="360"/>
    </row>
    <row r="356" spans="1:37" hidden="1" x14ac:dyDescent="0.25">
      <c r="A356" s="390"/>
      <c r="B356" s="369"/>
      <c r="C356" s="369"/>
      <c r="D356" s="369"/>
      <c r="E356" s="379"/>
      <c r="F356" s="380"/>
      <c r="G356" s="381"/>
      <c r="H356" s="421"/>
      <c r="I356" s="375"/>
      <c r="J356" s="375"/>
      <c r="K356" s="375"/>
      <c r="L356" s="375"/>
      <c r="M356" s="375"/>
      <c r="N356" s="375"/>
      <c r="O356" s="375"/>
      <c r="P356" s="375"/>
      <c r="Q356" s="375"/>
      <c r="R356" s="375"/>
      <c r="S356" s="375"/>
      <c r="T356" s="375"/>
      <c r="U356" s="375"/>
      <c r="V356" s="375"/>
      <c r="W356" s="375"/>
      <c r="X356" s="375"/>
      <c r="Y356" s="375"/>
      <c r="Z356" s="375"/>
      <c r="AA356" s="375"/>
      <c r="AB356" s="375"/>
      <c r="AC356" s="396"/>
      <c r="AD356" s="377"/>
      <c r="AE356" s="377"/>
      <c r="AF356" s="360"/>
      <c r="AG356" s="360"/>
      <c r="AH356" s="360"/>
      <c r="AI356" s="360"/>
      <c r="AJ356" s="360"/>
      <c r="AK356" s="360"/>
    </row>
    <row r="357" spans="1:37" hidden="1" x14ac:dyDescent="0.25">
      <c r="A357" s="390"/>
      <c r="B357" s="369"/>
      <c r="C357" s="369"/>
      <c r="D357" s="369"/>
      <c r="E357" s="382"/>
      <c r="F357" s="383"/>
      <c r="G357" s="384"/>
      <c r="H357" s="421"/>
      <c r="I357" s="375"/>
      <c r="J357" s="375"/>
      <c r="K357" s="375"/>
      <c r="L357" s="375"/>
      <c r="M357" s="375"/>
      <c r="N357" s="375"/>
      <c r="O357" s="375"/>
      <c r="P357" s="375"/>
      <c r="Q357" s="375"/>
      <c r="R357" s="375"/>
      <c r="S357" s="375"/>
      <c r="T357" s="375"/>
      <c r="U357" s="375"/>
      <c r="V357" s="375"/>
      <c r="W357" s="375"/>
      <c r="X357" s="375"/>
      <c r="Y357" s="375"/>
      <c r="Z357" s="375"/>
      <c r="AA357" s="375"/>
      <c r="AB357" s="375"/>
      <c r="AC357" s="396"/>
      <c r="AD357" s="377"/>
      <c r="AE357" s="377"/>
      <c r="AF357" s="360"/>
      <c r="AG357" s="360"/>
      <c r="AH357" s="360"/>
      <c r="AI357" s="360"/>
      <c r="AJ357" s="360"/>
      <c r="AK357" s="360"/>
    </row>
    <row r="358" spans="1:37" hidden="1" x14ac:dyDescent="0.25">
      <c r="A358" s="390"/>
      <c r="B358" s="369"/>
      <c r="C358" s="369"/>
      <c r="D358" s="369"/>
      <c r="E358" s="382"/>
      <c r="F358" s="383"/>
      <c r="G358" s="384"/>
      <c r="H358" s="421"/>
      <c r="I358" s="375"/>
      <c r="J358" s="375"/>
      <c r="K358" s="375"/>
      <c r="L358" s="375"/>
      <c r="M358" s="375"/>
      <c r="N358" s="375"/>
      <c r="O358" s="375"/>
      <c r="P358" s="375"/>
      <c r="Q358" s="375"/>
      <c r="R358" s="375"/>
      <c r="S358" s="375"/>
      <c r="T358" s="375"/>
      <c r="U358" s="375"/>
      <c r="V358" s="375"/>
      <c r="W358" s="375"/>
      <c r="X358" s="375"/>
      <c r="Y358" s="375"/>
      <c r="Z358" s="375"/>
      <c r="AA358" s="375"/>
      <c r="AB358" s="375"/>
      <c r="AC358" s="396"/>
      <c r="AD358" s="377"/>
      <c r="AE358" s="377"/>
      <c r="AF358" s="360"/>
      <c r="AG358" s="360"/>
      <c r="AH358" s="360"/>
      <c r="AI358" s="360"/>
      <c r="AJ358" s="360"/>
      <c r="AK358" s="360"/>
    </row>
    <row r="359" spans="1:37" hidden="1" x14ac:dyDescent="0.25">
      <c r="A359" s="390"/>
      <c r="B359" s="369"/>
      <c r="C359" s="369"/>
      <c r="D359" s="369"/>
      <c r="E359" s="382"/>
      <c r="F359" s="383"/>
      <c r="G359" s="384"/>
      <c r="H359" s="421"/>
      <c r="I359" s="375"/>
      <c r="J359" s="375"/>
      <c r="K359" s="375"/>
      <c r="L359" s="375"/>
      <c r="M359" s="375"/>
      <c r="N359" s="375"/>
      <c r="O359" s="375"/>
      <c r="P359" s="375"/>
      <c r="Q359" s="375"/>
      <c r="R359" s="375"/>
      <c r="S359" s="375"/>
      <c r="T359" s="375"/>
      <c r="U359" s="375"/>
      <c r="V359" s="375"/>
      <c r="W359" s="375"/>
      <c r="X359" s="375"/>
      <c r="Y359" s="375"/>
      <c r="Z359" s="375"/>
      <c r="AA359" s="375"/>
      <c r="AB359" s="375"/>
      <c r="AC359" s="396"/>
      <c r="AD359" s="377"/>
      <c r="AE359" s="377"/>
      <c r="AF359" s="360"/>
      <c r="AG359" s="360"/>
      <c r="AH359" s="360"/>
      <c r="AI359" s="360"/>
      <c r="AJ359" s="360"/>
      <c r="AK359" s="360"/>
    </row>
    <row r="360" spans="1:37" hidden="1" x14ac:dyDescent="0.25">
      <c r="A360" s="390"/>
      <c r="B360" s="369"/>
      <c r="C360" s="369"/>
      <c r="D360" s="369"/>
      <c r="E360" s="382"/>
      <c r="F360" s="383"/>
      <c r="G360" s="384"/>
      <c r="H360" s="421"/>
      <c r="I360" s="375"/>
      <c r="J360" s="375"/>
      <c r="K360" s="375"/>
      <c r="L360" s="375"/>
      <c r="M360" s="375"/>
      <c r="N360" s="375"/>
      <c r="O360" s="375"/>
      <c r="P360" s="375"/>
      <c r="Q360" s="375"/>
      <c r="R360" s="375"/>
      <c r="S360" s="375"/>
      <c r="T360" s="375"/>
      <c r="U360" s="375"/>
      <c r="V360" s="375"/>
      <c r="W360" s="375"/>
      <c r="X360" s="375"/>
      <c r="Y360" s="375"/>
      <c r="Z360" s="375"/>
      <c r="AA360" s="375"/>
      <c r="AB360" s="375"/>
      <c r="AC360" s="396"/>
      <c r="AD360" s="377"/>
      <c r="AE360" s="377"/>
      <c r="AF360" s="360"/>
      <c r="AG360" s="360"/>
      <c r="AH360" s="360"/>
      <c r="AI360" s="360"/>
      <c r="AJ360" s="360"/>
      <c r="AK360" s="360"/>
    </row>
    <row r="361" spans="1:37" hidden="1" x14ac:dyDescent="0.25">
      <c r="A361" s="390"/>
      <c r="B361" s="369"/>
      <c r="C361" s="369"/>
      <c r="D361" s="369"/>
      <c r="E361" s="382"/>
      <c r="F361" s="383"/>
      <c r="G361" s="384"/>
      <c r="H361" s="421"/>
      <c r="I361" s="375"/>
      <c r="J361" s="375"/>
      <c r="K361" s="375"/>
      <c r="L361" s="375"/>
      <c r="M361" s="375"/>
      <c r="N361" s="375"/>
      <c r="O361" s="375"/>
      <c r="P361" s="375"/>
      <c r="Q361" s="375"/>
      <c r="R361" s="375"/>
      <c r="S361" s="375"/>
      <c r="T361" s="375"/>
      <c r="U361" s="375"/>
      <c r="V361" s="375"/>
      <c r="W361" s="375"/>
      <c r="X361" s="375"/>
      <c r="Y361" s="375"/>
      <c r="Z361" s="375"/>
      <c r="AA361" s="375"/>
      <c r="AB361" s="375"/>
      <c r="AC361" s="396"/>
      <c r="AD361" s="377"/>
      <c r="AE361" s="377"/>
      <c r="AF361" s="360"/>
      <c r="AG361" s="360"/>
      <c r="AH361" s="360"/>
      <c r="AI361" s="360"/>
      <c r="AJ361" s="360"/>
      <c r="AK361" s="360"/>
    </row>
    <row r="362" spans="1:37" s="386" customFormat="1" hidden="1" x14ac:dyDescent="0.25">
      <c r="A362" s="409"/>
      <c r="B362" s="406"/>
      <c r="C362" s="406"/>
      <c r="D362" s="406"/>
      <c r="E362" s="407">
        <v>2015</v>
      </c>
      <c r="F362" s="407">
        <v>2016</v>
      </c>
      <c r="G362" s="407">
        <v>2017</v>
      </c>
      <c r="H362" s="407"/>
      <c r="I362" s="407"/>
      <c r="J362" s="407"/>
      <c r="K362" s="407"/>
      <c r="L362" s="407"/>
      <c r="M362" s="407"/>
      <c r="N362" s="407"/>
      <c r="O362" s="407"/>
      <c r="P362" s="407"/>
      <c r="Q362" s="407"/>
      <c r="R362" s="407"/>
      <c r="S362" s="407"/>
      <c r="T362" s="407"/>
      <c r="U362" s="407"/>
      <c r="V362" s="407"/>
      <c r="W362" s="407"/>
      <c r="X362" s="407"/>
      <c r="Y362" s="407"/>
      <c r="Z362" s="407"/>
      <c r="AA362" s="407"/>
      <c r="AB362" s="407"/>
      <c r="AC362" s="413"/>
    </row>
    <row r="363" spans="1:37" x14ac:dyDescent="0.25">
      <c r="A363" s="422" t="s">
        <v>640</v>
      </c>
      <c r="B363" s="436" t="s">
        <v>644</v>
      </c>
      <c r="C363" s="436" t="s">
        <v>645</v>
      </c>
      <c r="D363" s="436" t="s">
        <v>904</v>
      </c>
      <c r="E363" s="420">
        <v>0.57065564884860986</v>
      </c>
      <c r="F363" s="420">
        <v>0.46535993918845253</v>
      </c>
      <c r="G363" s="420">
        <v>0.46019101328446049</v>
      </c>
      <c r="H363" s="421">
        <v>2015</v>
      </c>
      <c r="I363" s="421">
        <v>0.57065564884860986</v>
      </c>
      <c r="J363" s="421">
        <v>2015</v>
      </c>
      <c r="K363" s="411">
        <v>0.61274700000000004</v>
      </c>
      <c r="L363" s="421">
        <f>Table14[[#This Row],[Data reference value]]+Table14[[#This Row],[Data reference value]]*Table14[[#This Row],[Ambitious target improvement rate 2030]]</f>
        <v>0.54212286640617935</v>
      </c>
      <c r="M363" s="421">
        <v>-0.05</v>
      </c>
      <c r="N363" s="421">
        <f>(Table14[[#This Row],[Ambitious target 2030]]-Table14[[#This Row],[Model reference value]])*0.5+Table14[[#This Row],[Model reference value]]</f>
        <v>0.5774349332030897</v>
      </c>
      <c r="O363" s="421">
        <f>(Table14[[#This Row],[Ambitious target 2030]]-Table14[[#This Row],[Model reference value]])*0.25+Table14[[#This Row],[Model reference value]]</f>
        <v>0.59509096660154492</v>
      </c>
      <c r="P363" s="421">
        <f>Table14[[#This Row],[Model reference value]]</f>
        <v>0.61274700000000004</v>
      </c>
      <c r="Q363" s="421">
        <f>Table14[[#This Row],[Data reference value]]+Table14[[#This Row],[Data reference value]]*Table14[[#This Row],[Ambitious target improvement rate 2050]]</f>
        <v>0.45652451907888791</v>
      </c>
      <c r="R363" s="421">
        <v>-0.2</v>
      </c>
      <c r="S363" s="421">
        <f>(Table14[[#This Row],[Ambitious target 2050]]-Table14[[#This Row],[Model reference value]])*0.5+Table14[[#This Row],[Model reference value]]</f>
        <v>0.53463575953944398</v>
      </c>
      <c r="T363" s="421">
        <f>(Table14[[#This Row],[Ambitious target 2050]]-Table14[[#This Row],[Model reference value]])*0.25+Table14[[#This Row],[Model reference value]]</f>
        <v>0.57369137976972207</v>
      </c>
      <c r="U363" s="421">
        <f>Table14[[#This Row],[Worst value 2030]]</f>
        <v>0.61274700000000004</v>
      </c>
      <c r="V363" s="421">
        <f>Table14[[#This Row],[Data reference value]]+Table14[[#This Row],[Data reference value]]*Table14[[#This Row],[Ambitious target improvement rate 2100]]</f>
        <v>0.28532782442430493</v>
      </c>
      <c r="W363" s="421">
        <v>-0.5</v>
      </c>
      <c r="X363" s="421">
        <f>(Table14[[#This Row],[Ambitious target 2100]]-Table14[[#This Row],[Model reference value]])*0.5+Table14[[#This Row],[Model reference value]]</f>
        <v>0.44903741221215249</v>
      </c>
      <c r="Y363" s="421">
        <f>(Table14[[#This Row],[Ambitious target 2100]]-Table14[[#This Row],[Model reference value]])*0.25+Table14[[#This Row],[Model reference value]]</f>
        <v>0.53089220610607624</v>
      </c>
      <c r="Z363" s="421">
        <f>Table14[[#This Row],[Worst value 2030]]</f>
        <v>0.61274700000000004</v>
      </c>
      <c r="AA363" s="421" t="s">
        <v>1140</v>
      </c>
      <c r="AB363" s="421" t="s">
        <v>1114</v>
      </c>
      <c r="AC363" s="371" t="s">
        <v>1103</v>
      </c>
      <c r="AD363" s="360"/>
      <c r="AE363" s="360"/>
      <c r="AF363" s="360"/>
      <c r="AG363" s="360"/>
      <c r="AH363" s="360"/>
      <c r="AI363" s="360"/>
      <c r="AJ363" s="360"/>
      <c r="AK363" s="360"/>
    </row>
    <row r="364" spans="1:37" hidden="1" x14ac:dyDescent="0.25">
      <c r="A364" s="390"/>
      <c r="B364" s="369"/>
      <c r="C364" s="369"/>
      <c r="D364" s="369"/>
      <c r="E364" s="379"/>
      <c r="F364" s="380"/>
      <c r="G364" s="381"/>
      <c r="H364" s="421"/>
      <c r="I364" s="375"/>
      <c r="J364" s="375"/>
      <c r="K364" s="375"/>
      <c r="L364" s="375"/>
      <c r="M364" s="375"/>
      <c r="N364" s="375"/>
      <c r="O364" s="375"/>
      <c r="P364" s="375"/>
      <c r="Q364" s="375"/>
      <c r="R364" s="375"/>
      <c r="S364" s="375"/>
      <c r="T364" s="375"/>
      <c r="U364" s="375"/>
      <c r="V364" s="375"/>
      <c r="W364" s="375"/>
      <c r="X364" s="375"/>
      <c r="Y364" s="375"/>
      <c r="Z364" s="375"/>
      <c r="AA364" s="375"/>
      <c r="AB364" s="375"/>
      <c r="AC364" s="396"/>
      <c r="AD364" s="360"/>
      <c r="AE364" s="360"/>
      <c r="AF364" s="360"/>
      <c r="AG364" s="360"/>
      <c r="AH364" s="360"/>
      <c r="AI364" s="360"/>
      <c r="AJ364" s="360"/>
      <c r="AK364" s="360"/>
    </row>
    <row r="365" spans="1:37" hidden="1" x14ac:dyDescent="0.25">
      <c r="A365" s="390"/>
      <c r="B365" s="369"/>
      <c r="C365" s="369"/>
      <c r="D365" s="369"/>
      <c r="E365" s="379"/>
      <c r="F365" s="380"/>
      <c r="G365" s="381"/>
      <c r="H365" s="421"/>
      <c r="I365" s="375"/>
      <c r="J365" s="375"/>
      <c r="K365" s="375"/>
      <c r="L365" s="375"/>
      <c r="M365" s="375"/>
      <c r="N365" s="375"/>
      <c r="O365" s="375"/>
      <c r="P365" s="375"/>
      <c r="Q365" s="375"/>
      <c r="R365" s="375"/>
      <c r="S365" s="375"/>
      <c r="T365" s="375"/>
      <c r="U365" s="375"/>
      <c r="V365" s="375"/>
      <c r="W365" s="375"/>
      <c r="X365" s="375"/>
      <c r="Y365" s="375"/>
      <c r="Z365" s="375"/>
      <c r="AA365" s="375"/>
      <c r="AB365" s="375"/>
      <c r="AC365" s="396"/>
      <c r="AD365" s="360"/>
      <c r="AE365" s="360"/>
      <c r="AF365" s="360"/>
      <c r="AG365" s="360"/>
      <c r="AH365" s="360"/>
      <c r="AI365" s="360"/>
      <c r="AJ365" s="360"/>
      <c r="AK365" s="360"/>
    </row>
    <row r="366" spans="1:37" hidden="1" x14ac:dyDescent="0.25">
      <c r="A366" s="390"/>
      <c r="B366" s="369"/>
      <c r="C366" s="369"/>
      <c r="D366" s="369"/>
      <c r="E366" s="379"/>
      <c r="F366" s="380"/>
      <c r="G366" s="381"/>
      <c r="H366" s="421"/>
      <c r="I366" s="375"/>
      <c r="J366" s="375"/>
      <c r="K366" s="375"/>
      <c r="L366" s="375"/>
      <c r="M366" s="375"/>
      <c r="N366" s="375"/>
      <c r="O366" s="375"/>
      <c r="P366" s="375"/>
      <c r="Q366" s="375"/>
      <c r="R366" s="375"/>
      <c r="S366" s="375"/>
      <c r="T366" s="375"/>
      <c r="U366" s="375"/>
      <c r="V366" s="375"/>
      <c r="W366" s="375"/>
      <c r="X366" s="375"/>
      <c r="Y366" s="375"/>
      <c r="Z366" s="375"/>
      <c r="AA366" s="375"/>
      <c r="AB366" s="375"/>
      <c r="AC366" s="396"/>
      <c r="AD366" s="360"/>
      <c r="AE366" s="360"/>
      <c r="AF366" s="360"/>
      <c r="AG366" s="360"/>
      <c r="AH366" s="360"/>
      <c r="AI366" s="360"/>
      <c r="AJ366" s="360"/>
      <c r="AK366" s="360"/>
    </row>
    <row r="367" spans="1:37" hidden="1" x14ac:dyDescent="0.25">
      <c r="A367" s="390"/>
      <c r="B367" s="369"/>
      <c r="C367" s="369"/>
      <c r="D367" s="369"/>
      <c r="E367" s="379"/>
      <c r="F367" s="380"/>
      <c r="G367" s="381"/>
      <c r="H367" s="421"/>
      <c r="I367" s="375"/>
      <c r="J367" s="375"/>
      <c r="K367" s="375"/>
      <c r="L367" s="375"/>
      <c r="M367" s="375"/>
      <c r="N367" s="375"/>
      <c r="O367" s="375"/>
      <c r="P367" s="375"/>
      <c r="Q367" s="375"/>
      <c r="R367" s="375"/>
      <c r="S367" s="375"/>
      <c r="T367" s="375"/>
      <c r="U367" s="375"/>
      <c r="V367" s="375"/>
      <c r="W367" s="375"/>
      <c r="X367" s="375"/>
      <c r="Y367" s="375"/>
      <c r="Z367" s="375"/>
      <c r="AA367" s="375"/>
      <c r="AB367" s="375"/>
      <c r="AC367" s="396"/>
      <c r="AD367" s="360"/>
      <c r="AE367" s="360"/>
      <c r="AF367" s="360"/>
      <c r="AG367" s="360"/>
      <c r="AH367" s="360"/>
      <c r="AI367" s="360"/>
      <c r="AJ367" s="360"/>
      <c r="AK367" s="360"/>
    </row>
    <row r="368" spans="1:37" hidden="1" x14ac:dyDescent="0.25">
      <c r="A368" s="390"/>
      <c r="B368" s="369"/>
      <c r="C368" s="369"/>
      <c r="D368" s="369"/>
      <c r="E368" s="379"/>
      <c r="F368" s="380"/>
      <c r="G368" s="381"/>
      <c r="H368" s="421"/>
      <c r="I368" s="375"/>
      <c r="J368" s="375"/>
      <c r="K368" s="375"/>
      <c r="L368" s="375"/>
      <c r="M368" s="375"/>
      <c r="N368" s="375"/>
      <c r="O368" s="375"/>
      <c r="P368" s="375"/>
      <c r="Q368" s="375"/>
      <c r="R368" s="375"/>
      <c r="S368" s="375"/>
      <c r="T368" s="375"/>
      <c r="U368" s="375"/>
      <c r="V368" s="375"/>
      <c r="W368" s="375"/>
      <c r="X368" s="375"/>
      <c r="Y368" s="375"/>
      <c r="Z368" s="375"/>
      <c r="AA368" s="375"/>
      <c r="AB368" s="375"/>
      <c r="AC368" s="396"/>
      <c r="AD368" s="360"/>
      <c r="AE368" s="360"/>
      <c r="AF368" s="360"/>
      <c r="AG368" s="360"/>
      <c r="AH368" s="360"/>
      <c r="AI368" s="360"/>
      <c r="AJ368" s="360"/>
      <c r="AK368" s="360"/>
    </row>
    <row r="369" spans="1:37" hidden="1" x14ac:dyDescent="0.25">
      <c r="A369" s="390"/>
      <c r="B369" s="369"/>
      <c r="C369" s="369"/>
      <c r="D369" s="369"/>
      <c r="E369" s="382"/>
      <c r="F369" s="383"/>
      <c r="G369" s="384"/>
      <c r="H369" s="421"/>
      <c r="I369" s="375"/>
      <c r="J369" s="375"/>
      <c r="K369" s="375"/>
      <c r="L369" s="375"/>
      <c r="M369" s="375"/>
      <c r="N369" s="375"/>
      <c r="O369" s="375"/>
      <c r="P369" s="375"/>
      <c r="Q369" s="375"/>
      <c r="R369" s="375"/>
      <c r="S369" s="375"/>
      <c r="T369" s="375"/>
      <c r="U369" s="375"/>
      <c r="V369" s="375"/>
      <c r="W369" s="375"/>
      <c r="X369" s="375"/>
      <c r="Y369" s="375"/>
      <c r="Z369" s="375"/>
      <c r="AA369" s="375"/>
      <c r="AB369" s="375"/>
      <c r="AC369" s="396"/>
      <c r="AD369" s="360"/>
      <c r="AE369" s="360"/>
      <c r="AF369" s="360"/>
      <c r="AG369" s="360"/>
      <c r="AH369" s="360"/>
      <c r="AI369" s="360"/>
      <c r="AJ369" s="360"/>
      <c r="AK369" s="360"/>
    </row>
    <row r="370" spans="1:37" hidden="1" x14ac:dyDescent="0.25">
      <c r="A370" s="390"/>
      <c r="B370" s="369"/>
      <c r="C370" s="369"/>
      <c r="D370" s="369"/>
      <c r="E370" s="382"/>
      <c r="F370" s="383"/>
      <c r="G370" s="384"/>
      <c r="H370" s="421"/>
      <c r="I370" s="375"/>
      <c r="J370" s="375"/>
      <c r="K370" s="375"/>
      <c r="L370" s="375"/>
      <c r="M370" s="375"/>
      <c r="N370" s="375"/>
      <c r="O370" s="375"/>
      <c r="P370" s="375"/>
      <c r="Q370" s="375"/>
      <c r="R370" s="375"/>
      <c r="S370" s="375"/>
      <c r="T370" s="375"/>
      <c r="U370" s="375"/>
      <c r="V370" s="375"/>
      <c r="W370" s="375"/>
      <c r="X370" s="375"/>
      <c r="Y370" s="375"/>
      <c r="Z370" s="375"/>
      <c r="AA370" s="375"/>
      <c r="AB370" s="375"/>
      <c r="AC370" s="396"/>
      <c r="AD370" s="360"/>
      <c r="AE370" s="360"/>
      <c r="AF370" s="360"/>
      <c r="AG370" s="360"/>
      <c r="AH370" s="360"/>
      <c r="AI370" s="360"/>
      <c r="AJ370" s="360"/>
      <c r="AK370" s="360"/>
    </row>
    <row r="371" spans="1:37" hidden="1" x14ac:dyDescent="0.25">
      <c r="A371" s="390"/>
      <c r="B371" s="369"/>
      <c r="C371" s="369"/>
      <c r="D371" s="369"/>
      <c r="E371" s="382"/>
      <c r="F371" s="383"/>
      <c r="G371" s="384"/>
      <c r="H371" s="421"/>
      <c r="I371" s="375"/>
      <c r="J371" s="375"/>
      <c r="K371" s="375"/>
      <c r="L371" s="375"/>
      <c r="M371" s="375"/>
      <c r="N371" s="375"/>
      <c r="O371" s="375"/>
      <c r="P371" s="375"/>
      <c r="Q371" s="375"/>
      <c r="R371" s="375"/>
      <c r="S371" s="375"/>
      <c r="T371" s="375"/>
      <c r="U371" s="375"/>
      <c r="V371" s="375"/>
      <c r="W371" s="375"/>
      <c r="X371" s="375"/>
      <c r="Y371" s="375"/>
      <c r="Z371" s="375"/>
      <c r="AA371" s="375"/>
      <c r="AB371" s="375"/>
      <c r="AC371" s="396"/>
      <c r="AD371" s="360"/>
      <c r="AE371" s="360"/>
      <c r="AF371" s="360"/>
      <c r="AG371" s="360"/>
      <c r="AH371" s="360"/>
      <c r="AI371" s="360"/>
      <c r="AJ371" s="360"/>
      <c r="AK371" s="360"/>
    </row>
    <row r="372" spans="1:37" hidden="1" x14ac:dyDescent="0.25">
      <c r="A372" s="390"/>
      <c r="B372" s="369"/>
      <c r="C372" s="369"/>
      <c r="D372" s="369"/>
      <c r="E372" s="382"/>
      <c r="F372" s="383"/>
      <c r="G372" s="384"/>
      <c r="H372" s="421"/>
      <c r="I372" s="375"/>
      <c r="J372" s="375"/>
      <c r="K372" s="375"/>
      <c r="L372" s="375"/>
      <c r="M372" s="375"/>
      <c r="N372" s="375"/>
      <c r="O372" s="375"/>
      <c r="P372" s="375"/>
      <c r="Q372" s="375"/>
      <c r="R372" s="375"/>
      <c r="S372" s="375"/>
      <c r="T372" s="375"/>
      <c r="U372" s="375"/>
      <c r="V372" s="375"/>
      <c r="W372" s="375"/>
      <c r="X372" s="375"/>
      <c r="Y372" s="375"/>
      <c r="Z372" s="375"/>
      <c r="AA372" s="375"/>
      <c r="AB372" s="375"/>
      <c r="AC372" s="396"/>
      <c r="AD372" s="360"/>
      <c r="AE372" s="360"/>
      <c r="AF372" s="360"/>
      <c r="AG372" s="360"/>
      <c r="AH372" s="360"/>
      <c r="AI372" s="360"/>
      <c r="AJ372" s="360"/>
      <c r="AK372" s="360"/>
    </row>
    <row r="373" spans="1:37" hidden="1" x14ac:dyDescent="0.25">
      <c r="A373" s="390"/>
      <c r="B373" s="369"/>
      <c r="C373" s="369"/>
      <c r="D373" s="369"/>
      <c r="E373" s="382"/>
      <c r="F373" s="383"/>
      <c r="G373" s="384"/>
      <c r="H373" s="421"/>
      <c r="I373" s="375"/>
      <c r="J373" s="375"/>
      <c r="K373" s="375"/>
      <c r="L373" s="375"/>
      <c r="M373" s="375"/>
      <c r="N373" s="375"/>
      <c r="O373" s="375"/>
      <c r="P373" s="375"/>
      <c r="Q373" s="375"/>
      <c r="R373" s="375"/>
      <c r="S373" s="375"/>
      <c r="T373" s="375"/>
      <c r="U373" s="375"/>
      <c r="V373" s="375"/>
      <c r="W373" s="375"/>
      <c r="X373" s="375"/>
      <c r="Y373" s="375"/>
      <c r="Z373" s="375"/>
      <c r="AA373" s="375"/>
      <c r="AB373" s="375"/>
      <c r="AC373" s="396"/>
      <c r="AD373" s="360"/>
      <c r="AE373" s="360"/>
      <c r="AF373" s="360"/>
      <c r="AG373" s="360"/>
      <c r="AH373" s="360"/>
      <c r="AI373" s="360"/>
      <c r="AJ373" s="360"/>
      <c r="AK373" s="360"/>
    </row>
    <row r="374" spans="1:37" s="386" customFormat="1" hidden="1" x14ac:dyDescent="0.25">
      <c r="A374" s="409"/>
      <c r="B374" s="406"/>
      <c r="C374" s="406"/>
      <c r="D374" s="406"/>
      <c r="E374" s="407">
        <v>2015</v>
      </c>
      <c r="F374" s="407">
        <v>2016</v>
      </c>
      <c r="G374" s="407">
        <v>2017</v>
      </c>
      <c r="H374" s="407"/>
      <c r="I374" s="407"/>
      <c r="J374" s="407"/>
      <c r="K374" s="407"/>
      <c r="L374" s="407"/>
      <c r="M374" s="407"/>
      <c r="N374" s="407"/>
      <c r="O374" s="407"/>
      <c r="P374" s="407"/>
      <c r="Q374" s="407"/>
      <c r="R374" s="407"/>
      <c r="S374" s="407"/>
      <c r="T374" s="407"/>
      <c r="U374" s="407"/>
      <c r="V374" s="407"/>
      <c r="W374" s="407"/>
      <c r="X374" s="407"/>
      <c r="Y374" s="407"/>
      <c r="Z374" s="407"/>
      <c r="AA374" s="407"/>
      <c r="AB374" s="407"/>
      <c r="AC374" s="413"/>
    </row>
    <row r="375" spans="1:37" x14ac:dyDescent="0.25">
      <c r="A375" s="422" t="s">
        <v>641</v>
      </c>
      <c r="B375" s="436" t="s">
        <v>1112</v>
      </c>
      <c r="C375" s="436" t="s">
        <v>645</v>
      </c>
      <c r="D375" s="436" t="s">
        <v>904</v>
      </c>
      <c r="E375" s="420">
        <v>0.7883381298190415</v>
      </c>
      <c r="F375" s="420">
        <v>0.78656058603811374</v>
      </c>
      <c r="G375" s="420">
        <v>0.79016088480322133</v>
      </c>
      <c r="H375" s="421">
        <v>2015</v>
      </c>
      <c r="I375" s="421">
        <v>0.7883381298190415</v>
      </c>
      <c r="J375" s="421">
        <v>2015</v>
      </c>
      <c r="K375" s="411">
        <v>0.98735300000000004</v>
      </c>
      <c r="L375" s="421">
        <f>Table14[[#This Row],[Data reference value]]+Table14[[#This Row],[Data reference value]]*Table14[[#This Row],[Ambitious target improvement rate 2030]]</f>
        <v>0.74892122332808941</v>
      </c>
      <c r="M375" s="421">
        <v>-0.05</v>
      </c>
      <c r="N375" s="421">
        <f>(Table14[[#This Row],[Ambitious target 2030]]-Table14[[#This Row],[Model reference value]])*0.5+Table14[[#This Row],[Model reference value]]</f>
        <v>0.86813711166404472</v>
      </c>
      <c r="O375" s="421">
        <f>(Table14[[#This Row],[Ambitious target 2030]]-Table14[[#This Row],[Model reference value]])*0.25+Table14[[#This Row],[Model reference value]]</f>
        <v>0.92774505583202238</v>
      </c>
      <c r="P375" s="421">
        <f>Table14[[#This Row],[Model reference value]]</f>
        <v>0.98735300000000004</v>
      </c>
      <c r="Q375" s="421">
        <f>Table14[[#This Row],[Data reference value]]+Table14[[#This Row],[Data reference value]]*Table14[[#This Row],[Ambitious target improvement rate 2050]]</f>
        <v>0.63067050385523316</v>
      </c>
      <c r="R375" s="421">
        <v>-0.2</v>
      </c>
      <c r="S375" s="421">
        <f>(Table14[[#This Row],[Ambitious target 2050]]-Table14[[#This Row],[Model reference value]])*0.5+Table14[[#This Row],[Model reference value]]</f>
        <v>0.80901175192761654</v>
      </c>
      <c r="T375" s="421">
        <f>(Table14[[#This Row],[Ambitious target 2050]]-Table14[[#This Row],[Model reference value]])*0.25+Table14[[#This Row],[Model reference value]]</f>
        <v>0.89818237596380834</v>
      </c>
      <c r="U375" s="421">
        <f>Table14[[#This Row],[Worst value 2030]]</f>
        <v>0.98735300000000004</v>
      </c>
      <c r="V375" s="421">
        <f>Table14[[#This Row],[Data reference value]]+Table14[[#This Row],[Data reference value]]*Table14[[#This Row],[Ambitious target improvement rate 2100]]</f>
        <v>0.39416906490952075</v>
      </c>
      <c r="W375" s="421">
        <v>-0.5</v>
      </c>
      <c r="X375" s="421">
        <f>(Table14[[#This Row],[Ambitious target 2100]]-Table14[[#This Row],[Model reference value]])*0.5+Table14[[#This Row],[Model reference value]]</f>
        <v>0.69076103245476039</v>
      </c>
      <c r="Y375" s="421">
        <f>(Table14[[#This Row],[Ambitious target 2100]]-Table14[[#This Row],[Model reference value]])*0.25+Table14[[#This Row],[Model reference value]]</f>
        <v>0.83905701622738027</v>
      </c>
      <c r="Z375" s="421">
        <f>Table14[[#This Row],[Worst value 2030]]</f>
        <v>0.98735300000000004</v>
      </c>
      <c r="AA375" s="421" t="s">
        <v>1140</v>
      </c>
      <c r="AB375" s="421" t="s">
        <v>1113</v>
      </c>
      <c r="AC375" s="371" t="s">
        <v>1103</v>
      </c>
      <c r="AD375" s="360"/>
      <c r="AE375" s="377" t="s">
        <v>932</v>
      </c>
      <c r="AF375" s="360"/>
      <c r="AG375" s="360"/>
      <c r="AH375" s="360"/>
      <c r="AI375" s="360"/>
      <c r="AJ375" s="360"/>
      <c r="AK375" s="360"/>
    </row>
    <row r="376" spans="1:37" hidden="1" x14ac:dyDescent="0.25">
      <c r="A376" s="390"/>
      <c r="B376" s="369"/>
      <c r="C376" s="369"/>
      <c r="D376" s="369"/>
      <c r="E376" s="379"/>
      <c r="F376" s="380"/>
      <c r="G376" s="381"/>
      <c r="H376" s="421"/>
      <c r="I376" s="375"/>
      <c r="J376" s="375"/>
      <c r="K376" s="375"/>
      <c r="L376" s="375"/>
      <c r="M376" s="375"/>
      <c r="N376" s="375"/>
      <c r="O376" s="375"/>
      <c r="P376" s="375"/>
      <c r="Q376" s="375"/>
      <c r="R376" s="375"/>
      <c r="S376" s="375"/>
      <c r="T376" s="375"/>
      <c r="U376" s="375"/>
      <c r="V376" s="375"/>
      <c r="W376" s="375"/>
      <c r="X376" s="375"/>
      <c r="Y376" s="375"/>
      <c r="Z376" s="375"/>
      <c r="AA376" s="375"/>
      <c r="AB376" s="375"/>
      <c r="AC376" s="396"/>
      <c r="AD376" s="360"/>
      <c r="AE376" s="360"/>
      <c r="AF376" s="360"/>
      <c r="AG376" s="360"/>
      <c r="AH376" s="360"/>
      <c r="AI376" s="360"/>
      <c r="AJ376" s="360"/>
      <c r="AK376" s="360"/>
    </row>
    <row r="377" spans="1:37" hidden="1" x14ac:dyDescent="0.25">
      <c r="A377" s="390"/>
      <c r="B377" s="369"/>
      <c r="C377" s="369"/>
      <c r="D377" s="369"/>
      <c r="E377" s="379"/>
      <c r="F377" s="380"/>
      <c r="G377" s="381"/>
      <c r="H377" s="421"/>
      <c r="I377" s="375"/>
      <c r="J377" s="375"/>
      <c r="K377" s="375"/>
      <c r="L377" s="375"/>
      <c r="M377" s="375"/>
      <c r="N377" s="375"/>
      <c r="O377" s="375"/>
      <c r="P377" s="375"/>
      <c r="Q377" s="375"/>
      <c r="R377" s="375"/>
      <c r="S377" s="375"/>
      <c r="T377" s="375"/>
      <c r="U377" s="375"/>
      <c r="V377" s="375"/>
      <c r="W377" s="375"/>
      <c r="X377" s="375"/>
      <c r="Y377" s="375"/>
      <c r="Z377" s="375"/>
      <c r="AA377" s="375"/>
      <c r="AB377" s="375"/>
      <c r="AC377" s="396"/>
      <c r="AD377" s="360"/>
      <c r="AE377" s="360"/>
      <c r="AF377" s="360"/>
      <c r="AG377" s="360"/>
      <c r="AH377" s="360"/>
      <c r="AI377" s="360"/>
      <c r="AJ377" s="360"/>
      <c r="AK377" s="360"/>
    </row>
    <row r="378" spans="1:37" hidden="1" x14ac:dyDescent="0.25">
      <c r="A378" s="390"/>
      <c r="B378" s="369"/>
      <c r="C378" s="369"/>
      <c r="D378" s="369"/>
      <c r="E378" s="379"/>
      <c r="F378" s="380"/>
      <c r="G378" s="381"/>
      <c r="H378" s="421"/>
      <c r="I378" s="375"/>
      <c r="J378" s="375"/>
      <c r="K378" s="375"/>
      <c r="L378" s="375"/>
      <c r="M378" s="375"/>
      <c r="N378" s="375"/>
      <c r="O378" s="375"/>
      <c r="P378" s="375"/>
      <c r="Q378" s="375"/>
      <c r="R378" s="375"/>
      <c r="S378" s="375"/>
      <c r="T378" s="375"/>
      <c r="U378" s="375"/>
      <c r="V378" s="375"/>
      <c r="W378" s="375"/>
      <c r="X378" s="375"/>
      <c r="Y378" s="375"/>
      <c r="Z378" s="375"/>
      <c r="AA378" s="375"/>
      <c r="AB378" s="375"/>
      <c r="AC378" s="396"/>
      <c r="AD378" s="360"/>
      <c r="AE378" s="360"/>
      <c r="AF378" s="360"/>
      <c r="AG378" s="360"/>
      <c r="AH378" s="360"/>
      <c r="AI378" s="360"/>
      <c r="AJ378" s="360"/>
      <c r="AK378" s="360"/>
    </row>
    <row r="379" spans="1:37" hidden="1" x14ac:dyDescent="0.25">
      <c r="A379" s="390"/>
      <c r="B379" s="369"/>
      <c r="C379" s="369"/>
      <c r="D379" s="369"/>
      <c r="E379" s="379"/>
      <c r="F379" s="380"/>
      <c r="G379" s="381"/>
      <c r="H379" s="421"/>
      <c r="I379" s="375"/>
      <c r="J379" s="375"/>
      <c r="K379" s="375"/>
      <c r="L379" s="375"/>
      <c r="M379" s="375"/>
      <c r="N379" s="375"/>
      <c r="O379" s="375"/>
      <c r="P379" s="375"/>
      <c r="Q379" s="375"/>
      <c r="R379" s="375"/>
      <c r="S379" s="375"/>
      <c r="T379" s="375"/>
      <c r="U379" s="375"/>
      <c r="V379" s="375"/>
      <c r="W379" s="375"/>
      <c r="X379" s="375"/>
      <c r="Y379" s="375"/>
      <c r="Z379" s="375"/>
      <c r="AA379" s="375"/>
      <c r="AB379" s="375"/>
      <c r="AC379" s="396"/>
      <c r="AD379" s="360"/>
      <c r="AE379" s="360"/>
      <c r="AF379" s="360"/>
      <c r="AG379" s="360"/>
      <c r="AH379" s="360"/>
      <c r="AI379" s="360"/>
      <c r="AJ379" s="360"/>
      <c r="AK379" s="360"/>
    </row>
    <row r="380" spans="1:37" hidden="1" x14ac:dyDescent="0.25">
      <c r="A380" s="390"/>
      <c r="B380" s="369"/>
      <c r="C380" s="369"/>
      <c r="D380" s="369"/>
      <c r="E380" s="379"/>
      <c r="F380" s="380"/>
      <c r="G380" s="381"/>
      <c r="H380" s="421"/>
      <c r="I380" s="375"/>
      <c r="J380" s="375"/>
      <c r="K380" s="375"/>
      <c r="L380" s="375"/>
      <c r="M380" s="375"/>
      <c r="N380" s="375"/>
      <c r="O380" s="375"/>
      <c r="P380" s="375"/>
      <c r="Q380" s="375"/>
      <c r="R380" s="375"/>
      <c r="S380" s="375"/>
      <c r="T380" s="375"/>
      <c r="U380" s="375"/>
      <c r="V380" s="375"/>
      <c r="W380" s="375"/>
      <c r="X380" s="375"/>
      <c r="Y380" s="375"/>
      <c r="Z380" s="375"/>
      <c r="AA380" s="375"/>
      <c r="AB380" s="375"/>
      <c r="AC380" s="396"/>
      <c r="AD380" s="360"/>
      <c r="AE380" s="360"/>
      <c r="AF380" s="360"/>
      <c r="AG380" s="360"/>
      <c r="AH380" s="360"/>
      <c r="AI380" s="360"/>
      <c r="AJ380" s="360"/>
      <c r="AK380" s="360"/>
    </row>
    <row r="381" spans="1:37" hidden="1" x14ac:dyDescent="0.25">
      <c r="A381" s="390"/>
      <c r="B381" s="369"/>
      <c r="C381" s="369"/>
      <c r="D381" s="369"/>
      <c r="E381" s="382"/>
      <c r="F381" s="383"/>
      <c r="G381" s="384"/>
      <c r="H381" s="421"/>
      <c r="I381" s="375"/>
      <c r="J381" s="375"/>
      <c r="K381" s="375"/>
      <c r="L381" s="375"/>
      <c r="M381" s="375"/>
      <c r="N381" s="375"/>
      <c r="O381" s="375"/>
      <c r="P381" s="375"/>
      <c r="Q381" s="375"/>
      <c r="R381" s="375"/>
      <c r="S381" s="375"/>
      <c r="T381" s="375"/>
      <c r="U381" s="375"/>
      <c r="V381" s="375"/>
      <c r="W381" s="375"/>
      <c r="X381" s="375"/>
      <c r="Y381" s="375"/>
      <c r="Z381" s="375"/>
      <c r="AA381" s="375"/>
      <c r="AB381" s="375"/>
      <c r="AC381" s="396"/>
      <c r="AD381" s="360"/>
      <c r="AE381" s="360"/>
      <c r="AF381" s="360"/>
      <c r="AG381" s="360"/>
      <c r="AH381" s="360"/>
      <c r="AI381" s="360"/>
      <c r="AJ381" s="360"/>
      <c r="AK381" s="360"/>
    </row>
    <row r="382" spans="1:37" hidden="1" x14ac:dyDescent="0.25">
      <c r="A382" s="390"/>
      <c r="B382" s="369"/>
      <c r="C382" s="369"/>
      <c r="D382" s="369"/>
      <c r="E382" s="382"/>
      <c r="F382" s="383"/>
      <c r="G382" s="384"/>
      <c r="H382" s="421"/>
      <c r="I382" s="375"/>
      <c r="J382" s="375"/>
      <c r="K382" s="375"/>
      <c r="L382" s="375"/>
      <c r="M382" s="375"/>
      <c r="N382" s="375"/>
      <c r="O382" s="375"/>
      <c r="P382" s="375"/>
      <c r="Q382" s="375"/>
      <c r="R382" s="375"/>
      <c r="S382" s="375"/>
      <c r="T382" s="375"/>
      <c r="U382" s="375"/>
      <c r="V382" s="375"/>
      <c r="W382" s="375"/>
      <c r="X382" s="375"/>
      <c r="Y382" s="375"/>
      <c r="Z382" s="375"/>
      <c r="AA382" s="375"/>
      <c r="AB382" s="375"/>
      <c r="AC382" s="396"/>
      <c r="AD382" s="360"/>
      <c r="AE382" s="360"/>
      <c r="AF382" s="360"/>
      <c r="AG382" s="360"/>
      <c r="AH382" s="360"/>
      <c r="AI382" s="360"/>
      <c r="AJ382" s="360"/>
      <c r="AK382" s="360"/>
    </row>
    <row r="383" spans="1:37" hidden="1" x14ac:dyDescent="0.25">
      <c r="A383" s="390"/>
      <c r="B383" s="369"/>
      <c r="C383" s="369"/>
      <c r="D383" s="369"/>
      <c r="E383" s="382"/>
      <c r="F383" s="383"/>
      <c r="G383" s="384"/>
      <c r="H383" s="421"/>
      <c r="I383" s="375"/>
      <c r="J383" s="375"/>
      <c r="K383" s="375"/>
      <c r="L383" s="375"/>
      <c r="M383" s="375"/>
      <c r="N383" s="375"/>
      <c r="O383" s="375"/>
      <c r="P383" s="375"/>
      <c r="Q383" s="375"/>
      <c r="R383" s="375"/>
      <c r="S383" s="375"/>
      <c r="T383" s="375"/>
      <c r="U383" s="375"/>
      <c r="V383" s="375"/>
      <c r="W383" s="375"/>
      <c r="X383" s="375"/>
      <c r="Y383" s="375"/>
      <c r="Z383" s="375"/>
      <c r="AA383" s="375"/>
      <c r="AB383" s="375"/>
      <c r="AC383" s="396"/>
      <c r="AD383" s="360"/>
      <c r="AE383" s="360"/>
      <c r="AF383" s="360"/>
      <c r="AG383" s="360"/>
      <c r="AH383" s="360"/>
      <c r="AI383" s="360"/>
      <c r="AJ383" s="360"/>
      <c r="AK383" s="360"/>
    </row>
    <row r="384" spans="1:37" hidden="1" x14ac:dyDescent="0.25">
      <c r="A384" s="390"/>
      <c r="B384" s="369"/>
      <c r="C384" s="369"/>
      <c r="D384" s="369"/>
      <c r="E384" s="382"/>
      <c r="F384" s="383"/>
      <c r="G384" s="384"/>
      <c r="H384" s="421"/>
      <c r="I384" s="375"/>
      <c r="J384" s="375"/>
      <c r="K384" s="375"/>
      <c r="L384" s="375"/>
      <c r="M384" s="375"/>
      <c r="N384" s="375"/>
      <c r="O384" s="375"/>
      <c r="P384" s="375"/>
      <c r="Q384" s="375"/>
      <c r="R384" s="375"/>
      <c r="S384" s="375"/>
      <c r="T384" s="375"/>
      <c r="U384" s="375"/>
      <c r="V384" s="375"/>
      <c r="W384" s="375"/>
      <c r="X384" s="375"/>
      <c r="Y384" s="375"/>
      <c r="Z384" s="375"/>
      <c r="AA384" s="375"/>
      <c r="AB384" s="375"/>
      <c r="AC384" s="396"/>
      <c r="AD384" s="360"/>
      <c r="AE384" s="360"/>
      <c r="AF384" s="360"/>
      <c r="AG384" s="360"/>
      <c r="AH384" s="360"/>
      <c r="AI384" s="360"/>
      <c r="AJ384" s="360"/>
      <c r="AK384" s="360"/>
    </row>
    <row r="385" spans="1:37" hidden="1" x14ac:dyDescent="0.25">
      <c r="A385" s="390"/>
      <c r="B385" s="369"/>
      <c r="C385" s="369"/>
      <c r="D385" s="369"/>
      <c r="E385" s="382"/>
      <c r="F385" s="383"/>
      <c r="G385" s="384"/>
      <c r="H385" s="421"/>
      <c r="I385" s="375"/>
      <c r="J385" s="375"/>
      <c r="K385" s="375"/>
      <c r="L385" s="375"/>
      <c r="M385" s="375"/>
      <c r="N385" s="375"/>
      <c r="O385" s="375"/>
      <c r="P385" s="375"/>
      <c r="Q385" s="375"/>
      <c r="R385" s="375"/>
      <c r="S385" s="375"/>
      <c r="T385" s="375"/>
      <c r="U385" s="375"/>
      <c r="V385" s="375"/>
      <c r="W385" s="375"/>
      <c r="X385" s="375"/>
      <c r="Y385" s="375"/>
      <c r="Z385" s="375"/>
      <c r="AA385" s="375"/>
      <c r="AB385" s="375"/>
      <c r="AC385" s="396"/>
      <c r="AD385" s="360"/>
      <c r="AE385" s="360"/>
      <c r="AF385" s="360"/>
      <c r="AG385" s="360"/>
      <c r="AH385" s="360"/>
      <c r="AI385" s="360"/>
      <c r="AJ385" s="360"/>
      <c r="AK385" s="360"/>
    </row>
    <row r="386" spans="1:37" hidden="1" x14ac:dyDescent="0.25">
      <c r="A386" s="409"/>
      <c r="B386" s="406"/>
      <c r="C386" s="406"/>
      <c r="D386" s="406"/>
      <c r="E386" s="407">
        <v>2015</v>
      </c>
      <c r="F386" s="407">
        <v>2016</v>
      </c>
      <c r="G386" s="407">
        <v>2017</v>
      </c>
      <c r="H386" s="407"/>
      <c r="I386" s="407"/>
      <c r="J386" s="407"/>
      <c r="K386" s="407"/>
      <c r="L386" s="407"/>
      <c r="M386" s="407"/>
      <c r="N386" s="407"/>
      <c r="O386" s="407"/>
      <c r="P386" s="407"/>
      <c r="Q386" s="407"/>
      <c r="R386" s="407"/>
      <c r="S386" s="407"/>
      <c r="T386" s="407"/>
      <c r="U386" s="407"/>
      <c r="V386" s="407"/>
      <c r="W386" s="407"/>
      <c r="X386" s="407"/>
      <c r="Y386" s="407"/>
      <c r="Z386" s="407"/>
      <c r="AA386" s="407"/>
      <c r="AB386" s="407"/>
      <c r="AC386" s="413"/>
      <c r="AD386" s="360"/>
      <c r="AE386" s="360"/>
      <c r="AF386" s="360"/>
      <c r="AG386" s="360"/>
      <c r="AH386" s="360"/>
      <c r="AI386" s="360"/>
      <c r="AJ386" s="360"/>
      <c r="AK386" s="360"/>
    </row>
    <row r="387" spans="1:37" x14ac:dyDescent="0.25">
      <c r="A387" s="422" t="s">
        <v>1104</v>
      </c>
      <c r="B387" s="648" t="s">
        <v>1612</v>
      </c>
      <c r="C387" s="436" t="s">
        <v>1616</v>
      </c>
      <c r="D387" s="436" t="s">
        <v>904</v>
      </c>
      <c r="E387" s="420">
        <v>5817775475.0031729</v>
      </c>
      <c r="F387" s="420">
        <v>5870905557.0628424</v>
      </c>
      <c r="G387" s="420">
        <v>5964022886.5478907</v>
      </c>
      <c r="H387" s="421">
        <v>2015</v>
      </c>
      <c r="I387" s="421">
        <v>5.8177754750031703</v>
      </c>
      <c r="J387" s="421">
        <v>2015</v>
      </c>
      <c r="K387" s="411">
        <v>7.0312999999999999</v>
      </c>
      <c r="L387" s="421">
        <f>Table14[[#This Row],[Data reference value]]+Table14[[#This Row],[Data reference value]]*Table14[[#This Row],[Ambitious target improvement rate 2030]]</f>
        <v>5.5268867012530114</v>
      </c>
      <c r="M387" s="421">
        <v>-0.05</v>
      </c>
      <c r="N387" s="421">
        <f>(Table14[[#This Row],[Ambitious target 2030]]-Table14[[#This Row],[Model reference value]])*0.5+Table14[[#This Row],[Model reference value]]</f>
        <v>6.2790933506265052</v>
      </c>
      <c r="O387" s="421">
        <f>(Table14[[#This Row],[Ambitious target 2030]]-Table14[[#This Row],[Model reference value]])*0.25+Table14[[#This Row],[Model reference value]]</f>
        <v>6.6551966753132525</v>
      </c>
      <c r="P387" s="421">
        <f>Table14[[#This Row],[Model reference value]]</f>
        <v>7.0312999999999999</v>
      </c>
      <c r="Q387" s="421">
        <f>Table14[[#This Row],[Data reference value]]+Table14[[#This Row],[Data reference value]]*Table14[[#This Row],[Ambitious target improvement rate 2050]]</f>
        <v>4.6542203800025366</v>
      </c>
      <c r="R387" s="421">
        <v>-0.2</v>
      </c>
      <c r="S387" s="421">
        <f>(Table14[[#This Row],[Ambitious target 2050]]-Table14[[#This Row],[Model reference value]])*0.5+Table14[[#This Row],[Model reference value]]</f>
        <v>5.8427601900012682</v>
      </c>
      <c r="T387" s="421">
        <f>(Table14[[#This Row],[Ambitious target 2050]]-Table14[[#This Row],[Model reference value]])*0.25+Table14[[#This Row],[Model reference value]]</f>
        <v>6.4370300950006341</v>
      </c>
      <c r="U387" s="421">
        <f>Table14[[#This Row],[Worst value 2030]]</f>
        <v>7.0312999999999999</v>
      </c>
      <c r="V387" s="421">
        <f>Table14[[#This Row],[Data reference value]]+Table14[[#This Row],[Data reference value]]*Table14[[#This Row],[Ambitious target improvement rate 2100]]</f>
        <v>2.9088877375015851</v>
      </c>
      <c r="W387" s="421">
        <v>-0.5</v>
      </c>
      <c r="X387" s="421">
        <f>(Table14[[#This Row],[Ambitious target 2100]]-Table14[[#This Row],[Model reference value]])*0.5+Table14[[#This Row],[Model reference value]]</f>
        <v>4.9700938687507925</v>
      </c>
      <c r="Y387" s="421">
        <f>(Table14[[#This Row],[Ambitious target 2100]]-Table14[[#This Row],[Model reference value]])*0.25+Table14[[#This Row],[Model reference value]]</f>
        <v>6.0006969343753962</v>
      </c>
      <c r="Z387" s="421">
        <f>Table14[[#This Row],[Worst value 2030]]</f>
        <v>7.0312999999999999</v>
      </c>
      <c r="AA387" s="421" t="s">
        <v>1140</v>
      </c>
      <c r="AB387" s="421"/>
      <c r="AC387" s="371" t="s">
        <v>1103</v>
      </c>
      <c r="AD387" s="360"/>
      <c r="AE387" s="360"/>
      <c r="AF387" s="360"/>
      <c r="AG387" s="360"/>
      <c r="AH387" s="360"/>
      <c r="AI387" s="360"/>
      <c r="AJ387" s="360"/>
      <c r="AK387" s="360"/>
    </row>
    <row r="388" spans="1:37" hidden="1" x14ac:dyDescent="0.25">
      <c r="A388" s="390"/>
      <c r="B388" s="369"/>
      <c r="C388" s="369"/>
      <c r="D388" s="369"/>
      <c r="E388" s="379"/>
      <c r="F388" s="380"/>
      <c r="G388" s="381"/>
      <c r="H388" s="421"/>
      <c r="I388" s="375"/>
      <c r="J388" s="375"/>
      <c r="K388" s="375"/>
      <c r="L388" s="375"/>
      <c r="M388" s="375"/>
      <c r="N388" s="375"/>
      <c r="O388" s="375"/>
      <c r="P388" s="375"/>
      <c r="Q388" s="375"/>
      <c r="R388" s="375"/>
      <c r="S388" s="375"/>
      <c r="T388" s="375"/>
      <c r="U388" s="375"/>
      <c r="V388" s="375"/>
      <c r="W388" s="375"/>
      <c r="X388" s="375"/>
      <c r="Y388" s="375"/>
      <c r="Z388" s="375"/>
      <c r="AA388" s="375"/>
      <c r="AB388" s="375"/>
      <c r="AC388" s="396"/>
      <c r="AD388" s="360"/>
      <c r="AE388" s="360"/>
      <c r="AF388" s="360"/>
      <c r="AG388" s="360"/>
      <c r="AH388" s="360"/>
      <c r="AI388" s="360"/>
      <c r="AJ388" s="360"/>
      <c r="AK388" s="360"/>
    </row>
    <row r="389" spans="1:37" hidden="1" x14ac:dyDescent="0.25">
      <c r="A389" s="390"/>
      <c r="B389" s="369"/>
      <c r="C389" s="369"/>
      <c r="D389" s="369"/>
      <c r="E389" s="379"/>
      <c r="F389" s="380"/>
      <c r="G389" s="381"/>
      <c r="H389" s="421"/>
      <c r="I389" s="375"/>
      <c r="J389" s="375"/>
      <c r="K389" s="375"/>
      <c r="L389" s="375"/>
      <c r="M389" s="375"/>
      <c r="N389" s="375"/>
      <c r="O389" s="375"/>
      <c r="P389" s="375"/>
      <c r="Q389" s="375"/>
      <c r="R389" s="375"/>
      <c r="S389" s="375"/>
      <c r="T389" s="375"/>
      <c r="U389" s="375"/>
      <c r="V389" s="375"/>
      <c r="W389" s="375"/>
      <c r="X389" s="375"/>
      <c r="Y389" s="375"/>
      <c r="Z389" s="375"/>
      <c r="AA389" s="375"/>
      <c r="AB389" s="375"/>
      <c r="AC389" s="396"/>
      <c r="AD389" s="360"/>
      <c r="AE389" s="360"/>
      <c r="AF389" s="360"/>
      <c r="AG389" s="360"/>
      <c r="AH389" s="360"/>
      <c r="AI389" s="360"/>
      <c r="AJ389" s="360"/>
      <c r="AK389" s="360"/>
    </row>
    <row r="390" spans="1:37" hidden="1" x14ac:dyDescent="0.25">
      <c r="A390" s="390"/>
      <c r="B390" s="369"/>
      <c r="C390" s="369"/>
      <c r="D390" s="369"/>
      <c r="E390" s="379"/>
      <c r="F390" s="380"/>
      <c r="G390" s="381"/>
      <c r="H390" s="421"/>
      <c r="I390" s="375"/>
      <c r="J390" s="375"/>
      <c r="K390" s="375"/>
      <c r="L390" s="375"/>
      <c r="M390" s="375"/>
      <c r="N390" s="375"/>
      <c r="O390" s="375"/>
      <c r="P390" s="375"/>
      <c r="Q390" s="375"/>
      <c r="R390" s="375"/>
      <c r="S390" s="375"/>
      <c r="T390" s="375"/>
      <c r="U390" s="375"/>
      <c r="V390" s="375"/>
      <c r="W390" s="375"/>
      <c r="X390" s="375"/>
      <c r="Y390" s="375"/>
      <c r="Z390" s="375"/>
      <c r="AA390" s="375"/>
      <c r="AB390" s="375"/>
      <c r="AC390" s="396"/>
      <c r="AD390" s="360"/>
      <c r="AE390" s="360"/>
      <c r="AF390" s="360"/>
      <c r="AG390" s="360"/>
      <c r="AH390" s="360"/>
      <c r="AI390" s="360"/>
      <c r="AJ390" s="360"/>
      <c r="AK390" s="360"/>
    </row>
    <row r="391" spans="1:37" hidden="1" x14ac:dyDescent="0.25">
      <c r="A391" s="390"/>
      <c r="B391" s="369"/>
      <c r="C391" s="369"/>
      <c r="D391" s="369"/>
      <c r="E391" s="379"/>
      <c r="F391" s="380"/>
      <c r="G391" s="381"/>
      <c r="H391" s="421"/>
      <c r="I391" s="375"/>
      <c r="J391" s="375"/>
      <c r="K391" s="375"/>
      <c r="L391" s="375"/>
      <c r="M391" s="375"/>
      <c r="N391" s="375"/>
      <c r="O391" s="375"/>
      <c r="P391" s="375"/>
      <c r="Q391" s="375"/>
      <c r="R391" s="375"/>
      <c r="S391" s="375"/>
      <c r="T391" s="375"/>
      <c r="U391" s="375"/>
      <c r="V391" s="375"/>
      <c r="W391" s="375"/>
      <c r="X391" s="375"/>
      <c r="Y391" s="375"/>
      <c r="Z391" s="375"/>
      <c r="AA391" s="375"/>
      <c r="AB391" s="375"/>
      <c r="AC391" s="396"/>
      <c r="AD391" s="360"/>
      <c r="AE391" s="360"/>
      <c r="AF391" s="360"/>
      <c r="AG391" s="360"/>
      <c r="AH391" s="360"/>
      <c r="AI391" s="360"/>
      <c r="AJ391" s="360"/>
      <c r="AK391" s="360"/>
    </row>
    <row r="392" spans="1:37" hidden="1" x14ac:dyDescent="0.25">
      <c r="A392" s="390"/>
      <c r="B392" s="369"/>
      <c r="C392" s="369"/>
      <c r="D392" s="369"/>
      <c r="E392" s="379"/>
      <c r="F392" s="380"/>
      <c r="G392" s="381"/>
      <c r="H392" s="421"/>
      <c r="I392" s="375"/>
      <c r="J392" s="375"/>
      <c r="K392" s="375"/>
      <c r="L392" s="375"/>
      <c r="M392" s="375"/>
      <c r="N392" s="375"/>
      <c r="O392" s="375"/>
      <c r="P392" s="375"/>
      <c r="Q392" s="375"/>
      <c r="R392" s="375"/>
      <c r="S392" s="375"/>
      <c r="T392" s="375"/>
      <c r="U392" s="375"/>
      <c r="V392" s="375"/>
      <c r="W392" s="375"/>
      <c r="X392" s="375"/>
      <c r="Y392" s="375"/>
      <c r="Z392" s="375"/>
      <c r="AA392" s="375"/>
      <c r="AB392" s="375"/>
      <c r="AC392" s="396"/>
      <c r="AD392" s="360"/>
      <c r="AE392" s="360"/>
      <c r="AF392" s="360"/>
      <c r="AG392" s="360"/>
      <c r="AH392" s="360"/>
      <c r="AI392" s="360"/>
      <c r="AJ392" s="360"/>
      <c r="AK392" s="360"/>
    </row>
    <row r="393" spans="1:37" hidden="1" x14ac:dyDescent="0.25">
      <c r="A393" s="390"/>
      <c r="B393" s="369"/>
      <c r="C393" s="369"/>
      <c r="D393" s="369"/>
      <c r="E393" s="382"/>
      <c r="F393" s="383"/>
      <c r="G393" s="384"/>
      <c r="H393" s="421"/>
      <c r="I393" s="375"/>
      <c r="J393" s="375"/>
      <c r="K393" s="375"/>
      <c r="L393" s="375"/>
      <c r="M393" s="375"/>
      <c r="N393" s="375"/>
      <c r="O393" s="375"/>
      <c r="P393" s="375"/>
      <c r="Q393" s="375"/>
      <c r="R393" s="375"/>
      <c r="S393" s="375"/>
      <c r="T393" s="375"/>
      <c r="U393" s="375"/>
      <c r="V393" s="375"/>
      <c r="W393" s="375"/>
      <c r="X393" s="375"/>
      <c r="Y393" s="375"/>
      <c r="Z393" s="375"/>
      <c r="AA393" s="375"/>
      <c r="AB393" s="375"/>
      <c r="AC393" s="396"/>
      <c r="AD393" s="360"/>
      <c r="AE393" s="360"/>
      <c r="AF393" s="360"/>
      <c r="AG393" s="360"/>
      <c r="AH393" s="360"/>
      <c r="AI393" s="360"/>
      <c r="AJ393" s="360"/>
      <c r="AK393" s="360"/>
    </row>
    <row r="394" spans="1:37" hidden="1" x14ac:dyDescent="0.25">
      <c r="A394" s="390"/>
      <c r="B394" s="369"/>
      <c r="C394" s="369"/>
      <c r="D394" s="369"/>
      <c r="E394" s="382"/>
      <c r="F394" s="383"/>
      <c r="G394" s="384"/>
      <c r="H394" s="421"/>
      <c r="I394" s="375"/>
      <c r="J394" s="375"/>
      <c r="K394" s="375"/>
      <c r="L394" s="375"/>
      <c r="M394" s="375"/>
      <c r="N394" s="375"/>
      <c r="O394" s="375"/>
      <c r="P394" s="375"/>
      <c r="Q394" s="375"/>
      <c r="R394" s="375"/>
      <c r="S394" s="375"/>
      <c r="T394" s="375"/>
      <c r="U394" s="375"/>
      <c r="V394" s="375"/>
      <c r="W394" s="375"/>
      <c r="X394" s="375"/>
      <c r="Y394" s="375"/>
      <c r="Z394" s="375"/>
      <c r="AA394" s="375"/>
      <c r="AB394" s="375"/>
      <c r="AC394" s="396"/>
      <c r="AD394" s="360"/>
      <c r="AE394" s="360"/>
      <c r="AF394" s="360"/>
      <c r="AG394" s="360"/>
      <c r="AH394" s="360"/>
      <c r="AI394" s="360"/>
      <c r="AJ394" s="360"/>
      <c r="AK394" s="360"/>
    </row>
    <row r="395" spans="1:37" hidden="1" x14ac:dyDescent="0.25">
      <c r="A395" s="390"/>
      <c r="B395" s="369"/>
      <c r="C395" s="369"/>
      <c r="D395" s="369"/>
      <c r="E395" s="382"/>
      <c r="F395" s="383"/>
      <c r="G395" s="384"/>
      <c r="H395" s="421"/>
      <c r="I395" s="375"/>
      <c r="J395" s="375"/>
      <c r="K395" s="375"/>
      <c r="L395" s="375"/>
      <c r="M395" s="375"/>
      <c r="N395" s="375"/>
      <c r="O395" s="375"/>
      <c r="P395" s="375"/>
      <c r="Q395" s="375"/>
      <c r="R395" s="375"/>
      <c r="S395" s="375"/>
      <c r="T395" s="375"/>
      <c r="U395" s="375"/>
      <c r="V395" s="375"/>
      <c r="W395" s="375"/>
      <c r="X395" s="375"/>
      <c r="Y395" s="375"/>
      <c r="Z395" s="375"/>
      <c r="AA395" s="375"/>
      <c r="AB395" s="375"/>
      <c r="AC395" s="396"/>
      <c r="AD395" s="360"/>
      <c r="AE395" s="360"/>
      <c r="AF395" s="360"/>
      <c r="AG395" s="360"/>
      <c r="AH395" s="360"/>
      <c r="AI395" s="360"/>
      <c r="AJ395" s="360"/>
      <c r="AK395" s="360"/>
    </row>
    <row r="396" spans="1:37" hidden="1" x14ac:dyDescent="0.25">
      <c r="A396" s="390"/>
      <c r="B396" s="369"/>
      <c r="C396" s="369"/>
      <c r="D396" s="369"/>
      <c r="E396" s="382"/>
      <c r="F396" s="383"/>
      <c r="G396" s="384"/>
      <c r="H396" s="421"/>
      <c r="I396" s="375"/>
      <c r="J396" s="375"/>
      <c r="K396" s="375"/>
      <c r="L396" s="375"/>
      <c r="M396" s="375"/>
      <c r="N396" s="375"/>
      <c r="O396" s="375"/>
      <c r="P396" s="375"/>
      <c r="Q396" s="375"/>
      <c r="R396" s="375"/>
      <c r="S396" s="375"/>
      <c r="T396" s="375"/>
      <c r="U396" s="375"/>
      <c r="V396" s="375"/>
      <c r="W396" s="375"/>
      <c r="X396" s="375"/>
      <c r="Y396" s="375"/>
      <c r="Z396" s="375"/>
      <c r="AA396" s="375"/>
      <c r="AB396" s="375"/>
      <c r="AC396" s="396"/>
      <c r="AD396" s="360"/>
      <c r="AE396" s="360"/>
      <c r="AF396" s="360"/>
      <c r="AG396" s="360"/>
      <c r="AH396" s="360"/>
      <c r="AI396" s="360"/>
      <c r="AJ396" s="360"/>
      <c r="AK396" s="360"/>
    </row>
    <row r="397" spans="1:37" hidden="1" x14ac:dyDescent="0.25">
      <c r="A397" s="390"/>
      <c r="B397" s="369"/>
      <c r="C397" s="369"/>
      <c r="D397" s="369"/>
      <c r="E397" s="382"/>
      <c r="F397" s="383"/>
      <c r="G397" s="384"/>
      <c r="H397" s="421"/>
      <c r="I397" s="375"/>
      <c r="J397" s="375"/>
      <c r="K397" s="375"/>
      <c r="L397" s="375"/>
      <c r="M397" s="375"/>
      <c r="N397" s="375"/>
      <c r="O397" s="375"/>
      <c r="P397" s="375"/>
      <c r="Q397" s="375"/>
      <c r="R397" s="375"/>
      <c r="S397" s="375"/>
      <c r="T397" s="375"/>
      <c r="U397" s="375"/>
      <c r="V397" s="375"/>
      <c r="W397" s="375"/>
      <c r="X397" s="375"/>
      <c r="Y397" s="375"/>
      <c r="Z397" s="375"/>
      <c r="AA397" s="375"/>
      <c r="AB397" s="375"/>
      <c r="AC397" s="396"/>
      <c r="AD397" s="360"/>
      <c r="AE397" s="360"/>
      <c r="AF397" s="360"/>
      <c r="AG397" s="360"/>
      <c r="AH397" s="360"/>
      <c r="AI397" s="360"/>
      <c r="AJ397" s="360"/>
      <c r="AK397" s="360"/>
    </row>
    <row r="398" spans="1:37" s="386" customFormat="1" hidden="1" x14ac:dyDescent="0.25">
      <c r="A398" s="409"/>
      <c r="B398" s="406"/>
      <c r="C398" s="406"/>
      <c r="D398" s="406"/>
      <c r="E398" s="406">
        <v>2014</v>
      </c>
      <c r="F398" s="406">
        <v>2015</v>
      </c>
      <c r="G398" s="406">
        <v>2016</v>
      </c>
      <c r="H398" s="406"/>
      <c r="I398" s="406"/>
      <c r="J398" s="406"/>
      <c r="K398" s="406"/>
      <c r="L398" s="406"/>
      <c r="M398" s="406"/>
      <c r="N398" s="406"/>
      <c r="O398" s="406"/>
      <c r="P398" s="406"/>
      <c r="Q398" s="406"/>
      <c r="R398" s="406"/>
      <c r="S398" s="406"/>
      <c r="T398" s="406"/>
      <c r="U398" s="406"/>
      <c r="V398" s="406"/>
      <c r="W398" s="406"/>
      <c r="X398" s="406"/>
      <c r="Y398" s="406"/>
      <c r="Z398" s="406"/>
      <c r="AA398" s="406"/>
      <c r="AB398" s="406"/>
      <c r="AC398" s="413"/>
    </row>
    <row r="399" spans="1:37" x14ac:dyDescent="0.25">
      <c r="A399" s="422" t="s">
        <v>801</v>
      </c>
      <c r="B399" s="436" t="s">
        <v>800</v>
      </c>
      <c r="C399" s="436" t="s">
        <v>645</v>
      </c>
      <c r="D399" s="436" t="s">
        <v>904</v>
      </c>
      <c r="E399" s="420">
        <v>4.54</v>
      </c>
      <c r="F399" s="420">
        <v>4.5</v>
      </c>
      <c r="G399" s="420">
        <v>4.46</v>
      </c>
      <c r="H399" s="421">
        <v>2015</v>
      </c>
      <c r="I399" s="421">
        <v>4.54</v>
      </c>
      <c r="J399" s="421">
        <v>2015</v>
      </c>
      <c r="K399" s="411">
        <v>5.3011799999999996</v>
      </c>
      <c r="L399" s="421">
        <f>Table14[[#This Row],[Data reference value]]+Table14[[#This Row],[Data reference value]]*Table14[[#This Row],[Ambitious target improvement rate 2030]]</f>
        <v>4.3129999999999997</v>
      </c>
      <c r="M399" s="421">
        <v>-0.05</v>
      </c>
      <c r="N399" s="421">
        <f>(Table14[[#This Row],[Ambitious target 2030]]-Table14[[#This Row],[Model reference value]])*0.5+Table14[[#This Row],[Model reference value]]</f>
        <v>4.8070899999999996</v>
      </c>
      <c r="O399" s="421">
        <f>(Table14[[#This Row],[Ambitious target 2030]]-Table14[[#This Row],[Model reference value]])*0.25+Table14[[#This Row],[Model reference value]]</f>
        <v>5.0541349999999996</v>
      </c>
      <c r="P399" s="421">
        <f>Table14[[#This Row],[Model reference value]]</f>
        <v>5.3011799999999996</v>
      </c>
      <c r="Q399" s="421">
        <f>Table14[[#This Row],[Data reference value]]+Table14[[#This Row],[Data reference value]]*Table14[[#This Row],[Ambitious target improvement rate 2050]]</f>
        <v>3.6320000000000001</v>
      </c>
      <c r="R399" s="421">
        <v>-0.2</v>
      </c>
      <c r="S399" s="421">
        <f>(Table14[[#This Row],[Ambitious target 2050]]-Table14[[#This Row],[Model reference value]])*0.5+Table14[[#This Row],[Model reference value]]</f>
        <v>4.4665900000000001</v>
      </c>
      <c r="T399" s="421">
        <f>(Table14[[#This Row],[Ambitious target 2050]]-Table14[[#This Row],[Model reference value]])*0.25+Table14[[#This Row],[Model reference value]]</f>
        <v>4.8838849999999994</v>
      </c>
      <c r="U399" s="421">
        <f>Table14[[#This Row],[Worst value 2030]]</f>
        <v>5.3011799999999996</v>
      </c>
      <c r="V399" s="421">
        <f>Table14[[#This Row],[Data reference value]]+Table14[[#This Row],[Data reference value]]*Table14[[#This Row],[Ambitious target improvement rate 2100]]</f>
        <v>2.27</v>
      </c>
      <c r="W399" s="421">
        <v>-0.5</v>
      </c>
      <c r="X399" s="421">
        <f>(Table14[[#This Row],[Ambitious target 2100]]-Table14[[#This Row],[Model reference value]])*0.5+Table14[[#This Row],[Model reference value]]</f>
        <v>3.78559</v>
      </c>
      <c r="Y399" s="421">
        <f>(Table14[[#This Row],[Ambitious target 2100]]-Table14[[#This Row],[Model reference value]])*0.25+Table14[[#This Row],[Model reference value]]</f>
        <v>4.5433849999999998</v>
      </c>
      <c r="Z399" s="421">
        <f>Table14[[#This Row],[Worst value 2030]]</f>
        <v>5.3011799999999996</v>
      </c>
      <c r="AA399" s="421" t="s">
        <v>1140</v>
      </c>
      <c r="AB399" s="421"/>
      <c r="AC399" s="419" t="s">
        <v>803</v>
      </c>
      <c r="AD399" s="360"/>
      <c r="AE399" s="360"/>
      <c r="AF399" s="360"/>
      <c r="AG399" s="360"/>
      <c r="AH399" s="360"/>
      <c r="AI399" s="360"/>
      <c r="AJ399" s="360"/>
      <c r="AK399" s="360"/>
    </row>
    <row r="400" spans="1:37" hidden="1" x14ac:dyDescent="0.25">
      <c r="A400" s="390"/>
      <c r="B400" s="369"/>
      <c r="C400" s="369"/>
      <c r="D400" s="369" t="s">
        <v>796</v>
      </c>
      <c r="E400" s="379">
        <v>15.86</v>
      </c>
      <c r="F400" s="380">
        <v>15.38</v>
      </c>
      <c r="G400" s="381">
        <v>15.02</v>
      </c>
      <c r="H400" s="421"/>
      <c r="I400" s="375"/>
      <c r="J400" s="375"/>
      <c r="K400" s="375"/>
      <c r="L400" s="375"/>
      <c r="M400" s="375"/>
      <c r="N400" s="375"/>
      <c r="O400" s="375"/>
      <c r="P400" s="375"/>
      <c r="Q400" s="375"/>
      <c r="R400" s="375"/>
      <c r="S400" s="375"/>
      <c r="T400" s="375"/>
      <c r="U400" s="375"/>
      <c r="V400" s="375"/>
      <c r="W400" s="375"/>
      <c r="X400" s="375"/>
      <c r="Y400" s="375"/>
      <c r="Z400" s="375"/>
      <c r="AA400" s="375"/>
      <c r="AB400" s="375"/>
      <c r="AC400" s="396"/>
      <c r="AD400" s="360"/>
      <c r="AE400" s="360"/>
      <c r="AF400" s="360"/>
      <c r="AG400" s="360"/>
      <c r="AH400" s="360"/>
      <c r="AI400" s="360"/>
      <c r="AJ400" s="360"/>
      <c r="AK400" s="360"/>
    </row>
    <row r="401" spans="1:37" hidden="1" x14ac:dyDescent="0.25">
      <c r="A401" s="390"/>
      <c r="B401" s="369"/>
      <c r="C401" s="369"/>
      <c r="D401" s="369" t="s">
        <v>799</v>
      </c>
      <c r="E401" s="379">
        <v>9.26</v>
      </c>
      <c r="F401" s="380">
        <v>9.14</v>
      </c>
      <c r="G401" s="381">
        <v>9.0399999999999991</v>
      </c>
      <c r="H401" s="421"/>
      <c r="I401" s="375"/>
      <c r="J401" s="375"/>
      <c r="K401" s="375"/>
      <c r="L401" s="375"/>
      <c r="M401" s="375"/>
      <c r="N401" s="375"/>
      <c r="O401" s="375"/>
      <c r="P401" s="375"/>
      <c r="Q401" s="375"/>
      <c r="R401" s="375"/>
      <c r="S401" s="375"/>
      <c r="T401" s="375"/>
      <c r="U401" s="375"/>
      <c r="V401" s="375"/>
      <c r="W401" s="375"/>
      <c r="X401" s="375"/>
      <c r="Y401" s="375"/>
      <c r="Z401" s="375"/>
      <c r="AA401" s="375"/>
      <c r="AB401" s="375"/>
      <c r="AC401" s="396"/>
      <c r="AD401" s="360"/>
      <c r="AE401" s="360"/>
      <c r="AF401" s="360"/>
      <c r="AG401" s="360"/>
      <c r="AH401" s="360"/>
      <c r="AI401" s="360"/>
      <c r="AJ401" s="360"/>
      <c r="AK401" s="360"/>
    </row>
    <row r="402" spans="1:37" hidden="1" x14ac:dyDescent="0.25">
      <c r="A402" s="390"/>
      <c r="B402" s="369"/>
      <c r="C402" s="369"/>
      <c r="D402" s="369" t="s">
        <v>797</v>
      </c>
      <c r="E402" s="379">
        <v>5.42</v>
      </c>
      <c r="F402" s="380">
        <v>5.52</v>
      </c>
      <c r="G402" s="381">
        <v>5.52</v>
      </c>
      <c r="H402" s="421"/>
      <c r="I402" s="375"/>
      <c r="J402" s="375"/>
      <c r="K402" s="375"/>
      <c r="L402" s="375"/>
      <c r="M402" s="375"/>
      <c r="N402" s="375"/>
      <c r="O402" s="375"/>
      <c r="P402" s="375"/>
      <c r="Q402" s="375"/>
      <c r="R402" s="375"/>
      <c r="S402" s="375"/>
      <c r="T402" s="375"/>
      <c r="U402" s="375"/>
      <c r="V402" s="375"/>
      <c r="W402" s="375"/>
      <c r="X402" s="375"/>
      <c r="Y402" s="375"/>
      <c r="Z402" s="375"/>
      <c r="AA402" s="375"/>
      <c r="AB402" s="375"/>
      <c r="AC402" s="396"/>
      <c r="AD402" s="360"/>
      <c r="AE402" s="360"/>
      <c r="AF402" s="360"/>
      <c r="AG402" s="360"/>
      <c r="AH402" s="360"/>
      <c r="AI402" s="360"/>
      <c r="AJ402" s="360"/>
      <c r="AK402" s="360"/>
    </row>
    <row r="403" spans="1:37" hidden="1" x14ac:dyDescent="0.25">
      <c r="A403" s="390"/>
      <c r="B403" s="369"/>
      <c r="C403" s="369"/>
      <c r="D403" s="369" t="s">
        <v>795</v>
      </c>
      <c r="E403" s="379">
        <v>4.43</v>
      </c>
      <c r="F403" s="380">
        <v>4.37</v>
      </c>
      <c r="G403" s="381">
        <v>4.32</v>
      </c>
      <c r="H403" s="421"/>
      <c r="I403" s="375"/>
      <c r="J403" s="375"/>
      <c r="K403" s="375"/>
      <c r="L403" s="375"/>
      <c r="M403" s="375"/>
      <c r="N403" s="375"/>
      <c r="O403" s="375"/>
      <c r="P403" s="375"/>
      <c r="Q403" s="375"/>
      <c r="R403" s="375"/>
      <c r="S403" s="375"/>
      <c r="T403" s="375"/>
      <c r="U403" s="375"/>
      <c r="V403" s="375"/>
      <c r="W403" s="375"/>
      <c r="X403" s="375"/>
      <c r="Y403" s="375"/>
      <c r="Z403" s="375"/>
      <c r="AA403" s="375"/>
      <c r="AB403" s="375"/>
      <c r="AC403" s="396"/>
      <c r="AD403" s="360"/>
      <c r="AE403" s="360"/>
      <c r="AF403" s="360"/>
      <c r="AG403" s="360"/>
      <c r="AH403" s="360"/>
      <c r="AI403" s="360"/>
      <c r="AJ403" s="360"/>
      <c r="AK403" s="360"/>
    </row>
    <row r="404" spans="1:37" hidden="1" x14ac:dyDescent="0.25">
      <c r="A404" s="390"/>
      <c r="B404" s="369"/>
      <c r="C404" s="369"/>
      <c r="D404" s="369" t="s">
        <v>794</v>
      </c>
      <c r="E404" s="379">
        <v>2.91</v>
      </c>
      <c r="F404" s="380">
        <v>2.89</v>
      </c>
      <c r="G404" s="381">
        <v>2.86</v>
      </c>
      <c r="H404" s="421"/>
      <c r="I404" s="375"/>
      <c r="J404" s="375"/>
      <c r="K404" s="375"/>
      <c r="L404" s="375"/>
      <c r="M404" s="375"/>
      <c r="N404" s="375"/>
      <c r="O404" s="375"/>
      <c r="P404" s="375"/>
      <c r="Q404" s="375"/>
      <c r="R404" s="375"/>
      <c r="S404" s="375"/>
      <c r="T404" s="375"/>
      <c r="U404" s="375"/>
      <c r="V404" s="375"/>
      <c r="W404" s="375"/>
      <c r="X404" s="375"/>
      <c r="Y404" s="375"/>
      <c r="Z404" s="375"/>
      <c r="AA404" s="375"/>
      <c r="AB404" s="375"/>
      <c r="AC404" s="396"/>
      <c r="AD404" s="360"/>
      <c r="AE404" s="360"/>
      <c r="AF404" s="360"/>
      <c r="AG404" s="360"/>
      <c r="AH404" s="360"/>
      <c r="AI404" s="360"/>
      <c r="AJ404" s="360"/>
      <c r="AK404" s="360"/>
    </row>
    <row r="405" spans="1:37" hidden="1" x14ac:dyDescent="0.25">
      <c r="A405" s="390"/>
      <c r="B405" s="369"/>
      <c r="C405" s="369"/>
      <c r="D405" s="369" t="s">
        <v>789</v>
      </c>
      <c r="E405" s="382">
        <v>2.77</v>
      </c>
      <c r="F405" s="383">
        <v>1.43</v>
      </c>
      <c r="G405" s="384">
        <v>1.39</v>
      </c>
      <c r="H405" s="421"/>
      <c r="I405" s="375"/>
      <c r="J405" s="375"/>
      <c r="K405" s="375"/>
      <c r="L405" s="375"/>
      <c r="M405" s="375"/>
      <c r="N405" s="375"/>
      <c r="O405" s="375"/>
      <c r="P405" s="375"/>
      <c r="Q405" s="375"/>
      <c r="R405" s="375"/>
      <c r="S405" s="375"/>
      <c r="T405" s="375"/>
      <c r="U405" s="375"/>
      <c r="V405" s="375"/>
      <c r="W405" s="375"/>
      <c r="X405" s="375"/>
      <c r="Y405" s="375"/>
      <c r="Z405" s="375"/>
      <c r="AA405" s="375"/>
      <c r="AB405" s="375"/>
      <c r="AC405" s="396"/>
      <c r="AD405" s="360"/>
      <c r="AE405" s="360"/>
      <c r="AF405" s="360"/>
      <c r="AG405" s="360"/>
      <c r="AH405" s="360"/>
      <c r="AI405" s="360"/>
      <c r="AJ405" s="360"/>
      <c r="AK405" s="360"/>
    </row>
    <row r="406" spans="1:37" hidden="1" x14ac:dyDescent="0.25">
      <c r="A406" s="390"/>
      <c r="B406" s="369"/>
      <c r="C406" s="369"/>
      <c r="D406" s="369" t="s">
        <v>793</v>
      </c>
      <c r="E406" s="382">
        <v>1.31</v>
      </c>
      <c r="F406" s="383">
        <v>1.31</v>
      </c>
      <c r="G406" s="384">
        <v>1.32</v>
      </c>
      <c r="H406" s="421"/>
      <c r="I406" s="375"/>
      <c r="J406" s="375"/>
      <c r="K406" s="375"/>
      <c r="L406" s="375"/>
      <c r="M406" s="375"/>
      <c r="N406" s="375"/>
      <c r="O406" s="375"/>
      <c r="P406" s="375"/>
      <c r="Q406" s="375"/>
      <c r="R406" s="375"/>
      <c r="S406" s="375"/>
      <c r="T406" s="375"/>
      <c r="U406" s="375"/>
      <c r="V406" s="375"/>
      <c r="W406" s="375"/>
      <c r="X406" s="375"/>
      <c r="Y406" s="375"/>
      <c r="Z406" s="375"/>
      <c r="AA406" s="375"/>
      <c r="AB406" s="375"/>
      <c r="AC406" s="396"/>
      <c r="AD406" s="360"/>
      <c r="AE406" s="360"/>
      <c r="AF406" s="360"/>
      <c r="AG406" s="360"/>
      <c r="AH406" s="360"/>
      <c r="AI406" s="360"/>
      <c r="AJ406" s="360"/>
      <c r="AK406" s="360"/>
    </row>
    <row r="407" spans="1:37" hidden="1" x14ac:dyDescent="0.25">
      <c r="A407" s="390"/>
      <c r="B407" s="369"/>
      <c r="C407" s="369"/>
      <c r="D407" s="369" t="s">
        <v>791</v>
      </c>
      <c r="E407" s="382">
        <v>0.82</v>
      </c>
      <c r="F407" s="383">
        <v>0.83</v>
      </c>
      <c r="G407" s="384">
        <v>0.82</v>
      </c>
      <c r="H407" s="421"/>
      <c r="I407" s="375"/>
      <c r="J407" s="375"/>
      <c r="K407" s="375"/>
      <c r="L407" s="375"/>
      <c r="M407" s="375"/>
      <c r="N407" s="375"/>
      <c r="O407" s="375"/>
      <c r="P407" s="375"/>
      <c r="Q407" s="375"/>
      <c r="R407" s="375"/>
      <c r="S407" s="375"/>
      <c r="T407" s="375"/>
      <c r="U407" s="375"/>
      <c r="V407" s="375"/>
      <c r="W407" s="375"/>
      <c r="X407" s="375"/>
      <c r="Y407" s="375"/>
      <c r="Z407" s="375"/>
      <c r="AA407" s="375"/>
      <c r="AB407" s="375"/>
      <c r="AC407" s="396"/>
      <c r="AD407" s="360"/>
      <c r="AE407" s="360"/>
      <c r="AF407" s="360"/>
      <c r="AG407" s="360"/>
      <c r="AH407" s="360"/>
      <c r="AI407" s="360"/>
      <c r="AJ407" s="360"/>
      <c r="AK407" s="360"/>
    </row>
    <row r="408" spans="1:37" hidden="1" x14ac:dyDescent="0.25">
      <c r="A408" s="390"/>
      <c r="B408" s="369"/>
      <c r="C408" s="369"/>
      <c r="D408" s="369" t="s">
        <v>790</v>
      </c>
      <c r="E408" s="382">
        <v>0.39</v>
      </c>
      <c r="F408" s="383">
        <v>0.37</v>
      </c>
      <c r="G408" s="384">
        <v>0.25</v>
      </c>
      <c r="H408" s="421"/>
      <c r="I408" s="375"/>
      <c r="J408" s="375"/>
      <c r="K408" s="375"/>
      <c r="L408" s="375"/>
      <c r="M408" s="375"/>
      <c r="N408" s="375"/>
      <c r="O408" s="375"/>
      <c r="P408" s="375"/>
      <c r="Q408" s="375"/>
      <c r="R408" s="375"/>
      <c r="S408" s="375"/>
      <c r="T408" s="375"/>
      <c r="U408" s="375"/>
      <c r="V408" s="375"/>
      <c r="W408" s="375"/>
      <c r="X408" s="375"/>
      <c r="Y408" s="375"/>
      <c r="Z408" s="375"/>
      <c r="AA408" s="375"/>
      <c r="AB408" s="375"/>
      <c r="AC408" s="396"/>
      <c r="AD408" s="360"/>
      <c r="AE408" s="360"/>
      <c r="AF408" s="360"/>
      <c r="AG408" s="360"/>
      <c r="AH408" s="360"/>
      <c r="AI408" s="360"/>
      <c r="AJ408" s="360"/>
      <c r="AK408" s="360"/>
    </row>
    <row r="409" spans="1:37" hidden="1" x14ac:dyDescent="0.25">
      <c r="A409" s="390"/>
      <c r="B409" s="369"/>
      <c r="C409" s="369"/>
      <c r="D409" s="369" t="s">
        <v>798</v>
      </c>
      <c r="E409" s="382">
        <v>0.15</v>
      </c>
      <c r="F409" s="383">
        <v>0.16</v>
      </c>
      <c r="G409" s="384">
        <v>0.11</v>
      </c>
      <c r="H409" s="421"/>
      <c r="I409" s="375"/>
      <c r="J409" s="375"/>
      <c r="K409" s="375"/>
      <c r="L409" s="375"/>
      <c r="M409" s="375"/>
      <c r="N409" s="375"/>
      <c r="O409" s="375"/>
      <c r="P409" s="375"/>
      <c r="Q409" s="375"/>
      <c r="R409" s="375"/>
      <c r="S409" s="375"/>
      <c r="T409" s="375"/>
      <c r="U409" s="375"/>
      <c r="V409" s="375"/>
      <c r="W409" s="375"/>
      <c r="X409" s="375"/>
      <c r="Y409" s="375"/>
      <c r="Z409" s="375"/>
      <c r="AA409" s="375"/>
      <c r="AB409" s="375"/>
      <c r="AC409" s="396"/>
      <c r="AD409" s="360"/>
      <c r="AE409" s="360"/>
      <c r="AF409" s="360"/>
      <c r="AG409" s="360"/>
      <c r="AH409" s="360"/>
      <c r="AI409" s="360"/>
      <c r="AJ409" s="360"/>
      <c r="AK409" s="360"/>
    </row>
    <row r="410" spans="1:37" s="386" customFormat="1" hidden="1" x14ac:dyDescent="0.25">
      <c r="A410" s="409"/>
      <c r="B410" s="406"/>
      <c r="C410" s="406"/>
      <c r="D410" s="406"/>
      <c r="E410" s="407">
        <v>2012</v>
      </c>
      <c r="F410" s="407">
        <v>2013</v>
      </c>
      <c r="G410" s="407">
        <v>2014</v>
      </c>
      <c r="H410" s="407"/>
      <c r="I410" s="407"/>
      <c r="J410" s="407"/>
      <c r="K410" s="407"/>
      <c r="L410" s="407"/>
      <c r="M410" s="407"/>
      <c r="N410" s="407"/>
      <c r="O410" s="407"/>
      <c r="P410" s="407"/>
      <c r="Q410" s="407"/>
      <c r="R410" s="407"/>
      <c r="S410" s="407"/>
      <c r="T410" s="407"/>
      <c r="U410" s="407"/>
      <c r="V410" s="407"/>
      <c r="W410" s="407"/>
      <c r="X410" s="407"/>
      <c r="Y410" s="407"/>
      <c r="Z410" s="407"/>
      <c r="AA410" s="407"/>
      <c r="AB410" s="407"/>
      <c r="AC410" s="413"/>
    </row>
    <row r="411" spans="1:37" x14ac:dyDescent="0.25">
      <c r="A411" s="422" t="s">
        <v>621</v>
      </c>
      <c r="B411" s="436" t="s">
        <v>657</v>
      </c>
      <c r="C411" s="436" t="s">
        <v>645</v>
      </c>
      <c r="D411" s="436" t="s">
        <v>904</v>
      </c>
      <c r="E411" s="420">
        <v>5.00593781609368</v>
      </c>
      <c r="F411" s="420">
        <v>4.99852018932752</v>
      </c>
      <c r="G411" s="420">
        <v>4.9816855938225997</v>
      </c>
      <c r="H411" s="421">
        <v>2014</v>
      </c>
      <c r="I411" s="421">
        <v>4.9816855938225997</v>
      </c>
      <c r="J411" s="421">
        <v>2015</v>
      </c>
      <c r="K411" s="411">
        <v>4.8600000000000003</v>
      </c>
      <c r="L411" s="421">
        <f>Table14[[#This Row],[Data reference value]]+Table14[[#This Row],[Data reference value]]*Table14[[#This Row],[Ambitious target improvement rate 2030]]</f>
        <v>3.4871799156758199</v>
      </c>
      <c r="M411" s="421">
        <v>-0.3</v>
      </c>
      <c r="N411" s="421">
        <f>(Table14[[#This Row],[Ambitious target 2030]]-Table14[[#This Row],[Model reference value]])*0.5+Table14[[#This Row],[Model reference value]]</f>
        <v>4.1735899578379101</v>
      </c>
      <c r="O411" s="421">
        <f>(Table14[[#This Row],[Ambitious target 2030]]-Table14[[#This Row],[Model reference value]])*0.25+Table14[[#This Row],[Model reference value]]</f>
        <v>4.5167949789189556</v>
      </c>
      <c r="P411" s="421">
        <f>Table14[[#This Row],[Model reference value]]</f>
        <v>4.8600000000000003</v>
      </c>
      <c r="Q411" s="421">
        <f>Table14[[#This Row],[Data reference value]]+Table14[[#This Row],[Data reference value]]*Table14[[#This Row],[Ambitious target improvement rate 2050]]</f>
        <v>2.4908427969112998</v>
      </c>
      <c r="R411" s="421">
        <v>-0.5</v>
      </c>
      <c r="S411" s="421">
        <f>(Table14[[#This Row],[Ambitious target 2050]]-Table14[[#This Row],[Model reference value]])*0.5+Table14[[#This Row],[Model reference value]]</f>
        <v>3.6754213984556499</v>
      </c>
      <c r="T411" s="421">
        <f>(Table14[[#This Row],[Ambitious target 2050]]-Table14[[#This Row],[Model reference value]])*0.25+Table14[[#This Row],[Model reference value]]</f>
        <v>4.2677106992278251</v>
      </c>
      <c r="U411" s="421">
        <f>Table14[[#This Row],[Worst value 2030]]</f>
        <v>4.8600000000000003</v>
      </c>
      <c r="V411" s="421">
        <f>Table14[[#This Row],[Data reference value]]+Table14[[#This Row],[Data reference value]]*Table14[[#This Row],[Ambitious target improvement rate 2100]]</f>
        <v>1.4945056781467803</v>
      </c>
      <c r="W411" s="421">
        <v>-0.7</v>
      </c>
      <c r="X411" s="421">
        <f>(Table14[[#This Row],[Ambitious target 2100]]-Table14[[#This Row],[Model reference value]])*0.5+Table14[[#This Row],[Model reference value]]</f>
        <v>3.1772528390733905</v>
      </c>
      <c r="Y411" s="421">
        <f>(Table14[[#This Row],[Ambitious target 2100]]-Table14[[#This Row],[Model reference value]])*0.25+Table14[[#This Row],[Model reference value]]</f>
        <v>4.0186264195366954</v>
      </c>
      <c r="Z411" s="421">
        <f>Table14[[#This Row],[Worst value 2030]]</f>
        <v>4.8600000000000003</v>
      </c>
      <c r="AA411" s="421" t="s">
        <v>1140</v>
      </c>
      <c r="AB411" s="421"/>
      <c r="AC411" s="371" t="s">
        <v>1117</v>
      </c>
      <c r="AD411" s="360"/>
      <c r="AE411" s="360"/>
      <c r="AF411" s="360"/>
      <c r="AG411" s="360"/>
      <c r="AH411" s="360"/>
      <c r="AI411" s="360"/>
      <c r="AJ411" s="360"/>
      <c r="AK411" s="360"/>
    </row>
    <row r="412" spans="1:37" hidden="1" x14ac:dyDescent="0.25">
      <c r="A412" s="390"/>
      <c r="B412" s="369"/>
      <c r="C412" s="369"/>
      <c r="D412" s="369"/>
      <c r="E412" s="379"/>
      <c r="F412" s="380"/>
      <c r="G412" s="381"/>
      <c r="H412" s="421"/>
      <c r="I412" s="375"/>
      <c r="J412" s="375"/>
      <c r="K412" s="375"/>
      <c r="L412" s="375"/>
      <c r="M412" s="375"/>
      <c r="N412" s="375"/>
      <c r="O412" s="375"/>
      <c r="P412" s="375"/>
      <c r="Q412" s="375"/>
      <c r="R412" s="375"/>
      <c r="S412" s="375"/>
      <c r="T412" s="375"/>
      <c r="U412" s="375"/>
      <c r="V412" s="375"/>
      <c r="W412" s="375"/>
      <c r="X412" s="375"/>
      <c r="Y412" s="375"/>
      <c r="Z412" s="375"/>
      <c r="AA412" s="375"/>
      <c r="AB412" s="375"/>
      <c r="AC412" s="396"/>
      <c r="AD412" s="360"/>
      <c r="AE412" s="360"/>
      <c r="AF412" s="360"/>
      <c r="AG412" s="360"/>
      <c r="AH412" s="360"/>
      <c r="AI412" s="360"/>
      <c r="AJ412" s="360"/>
      <c r="AK412" s="360"/>
    </row>
    <row r="413" spans="1:37" hidden="1" x14ac:dyDescent="0.25">
      <c r="A413" s="390"/>
      <c r="B413" s="369"/>
      <c r="C413" s="369"/>
      <c r="D413" s="369"/>
      <c r="E413" s="379"/>
      <c r="F413" s="380"/>
      <c r="G413" s="381"/>
      <c r="H413" s="421"/>
      <c r="I413" s="375"/>
      <c r="J413" s="375"/>
      <c r="K413" s="375"/>
      <c r="L413" s="375"/>
      <c r="M413" s="375"/>
      <c r="N413" s="375"/>
      <c r="O413" s="375"/>
      <c r="P413" s="375"/>
      <c r="Q413" s="375"/>
      <c r="R413" s="375"/>
      <c r="S413" s="375"/>
      <c r="T413" s="375"/>
      <c r="U413" s="375"/>
      <c r="V413" s="375"/>
      <c r="W413" s="375"/>
      <c r="X413" s="375"/>
      <c r="Y413" s="375"/>
      <c r="Z413" s="375"/>
      <c r="AA413" s="375"/>
      <c r="AB413" s="375"/>
      <c r="AC413" s="396"/>
      <c r="AD413" s="360"/>
      <c r="AE413" s="360"/>
      <c r="AF413" s="360"/>
      <c r="AG413" s="360"/>
      <c r="AH413" s="360"/>
      <c r="AI413" s="360"/>
      <c r="AJ413" s="360"/>
      <c r="AK413" s="360"/>
    </row>
    <row r="414" spans="1:37" hidden="1" x14ac:dyDescent="0.25">
      <c r="A414" s="390"/>
      <c r="B414" s="369"/>
      <c r="C414" s="369"/>
      <c r="D414" s="369"/>
      <c r="E414" s="379"/>
      <c r="F414" s="380"/>
      <c r="G414" s="381"/>
      <c r="H414" s="421"/>
      <c r="I414" s="375"/>
      <c r="J414" s="375"/>
      <c r="K414" s="375"/>
      <c r="L414" s="375"/>
      <c r="M414" s="375"/>
      <c r="N414" s="375"/>
      <c r="O414" s="375"/>
      <c r="P414" s="375"/>
      <c r="Q414" s="375"/>
      <c r="R414" s="375"/>
      <c r="S414" s="375"/>
      <c r="T414" s="375"/>
      <c r="U414" s="375"/>
      <c r="V414" s="375"/>
      <c r="W414" s="375"/>
      <c r="X414" s="375"/>
      <c r="Y414" s="375"/>
      <c r="Z414" s="375"/>
      <c r="AA414" s="375"/>
      <c r="AB414" s="375"/>
      <c r="AC414" s="396"/>
      <c r="AD414" s="360"/>
      <c r="AE414" s="360"/>
      <c r="AF414" s="360"/>
      <c r="AG414" s="360"/>
      <c r="AH414" s="360"/>
      <c r="AI414" s="360"/>
      <c r="AJ414" s="360"/>
      <c r="AK414" s="360"/>
    </row>
    <row r="415" spans="1:37" hidden="1" x14ac:dyDescent="0.25">
      <c r="A415" s="390"/>
      <c r="B415" s="369"/>
      <c r="C415" s="369"/>
      <c r="D415" s="369"/>
      <c r="E415" s="379"/>
      <c r="F415" s="380"/>
      <c r="G415" s="381"/>
      <c r="H415" s="421"/>
      <c r="I415" s="375"/>
      <c r="J415" s="375"/>
      <c r="K415" s="375"/>
      <c r="L415" s="375"/>
      <c r="M415" s="375"/>
      <c r="N415" s="375"/>
      <c r="O415" s="375"/>
      <c r="P415" s="375"/>
      <c r="Q415" s="375"/>
      <c r="R415" s="375"/>
      <c r="S415" s="375"/>
      <c r="T415" s="375"/>
      <c r="U415" s="375"/>
      <c r="V415" s="375"/>
      <c r="W415" s="375"/>
      <c r="X415" s="375"/>
      <c r="Y415" s="375"/>
      <c r="Z415" s="375"/>
      <c r="AA415" s="375"/>
      <c r="AB415" s="375"/>
      <c r="AC415" s="396"/>
      <c r="AD415" s="360"/>
      <c r="AE415" s="360"/>
      <c r="AF415" s="360"/>
      <c r="AG415" s="360"/>
      <c r="AH415" s="360"/>
      <c r="AI415" s="360"/>
      <c r="AJ415" s="360"/>
      <c r="AK415" s="360"/>
    </row>
    <row r="416" spans="1:37" hidden="1" x14ac:dyDescent="0.25">
      <c r="A416" s="390"/>
      <c r="B416" s="369"/>
      <c r="C416" s="369"/>
      <c r="D416" s="369"/>
      <c r="E416" s="379"/>
      <c r="F416" s="380"/>
      <c r="G416" s="381"/>
      <c r="H416" s="421"/>
      <c r="I416" s="375"/>
      <c r="J416" s="375"/>
      <c r="K416" s="375"/>
      <c r="L416" s="375"/>
      <c r="M416" s="375"/>
      <c r="N416" s="375"/>
      <c r="O416" s="375"/>
      <c r="P416" s="375"/>
      <c r="Q416" s="375"/>
      <c r="R416" s="375"/>
      <c r="S416" s="375"/>
      <c r="T416" s="375"/>
      <c r="U416" s="375"/>
      <c r="V416" s="375"/>
      <c r="W416" s="375"/>
      <c r="X416" s="375"/>
      <c r="Y416" s="375"/>
      <c r="Z416" s="375"/>
      <c r="AA416" s="375"/>
      <c r="AB416" s="375"/>
      <c r="AC416" s="396"/>
      <c r="AD416" s="360"/>
      <c r="AE416" s="360"/>
      <c r="AF416" s="360"/>
      <c r="AG416" s="360"/>
      <c r="AH416" s="360"/>
      <c r="AI416" s="360"/>
      <c r="AJ416" s="360"/>
      <c r="AK416" s="360"/>
    </row>
    <row r="417" spans="1:37" hidden="1" x14ac:dyDescent="0.25">
      <c r="A417" s="390"/>
      <c r="B417" s="369"/>
      <c r="C417" s="369"/>
      <c r="D417" s="369"/>
      <c r="E417" s="382"/>
      <c r="F417" s="383"/>
      <c r="G417" s="384"/>
      <c r="H417" s="421"/>
      <c r="I417" s="375"/>
      <c r="J417" s="375"/>
      <c r="K417" s="375"/>
      <c r="L417" s="375"/>
      <c r="M417" s="375"/>
      <c r="N417" s="375"/>
      <c r="O417" s="375"/>
      <c r="P417" s="375"/>
      <c r="Q417" s="375"/>
      <c r="R417" s="375"/>
      <c r="S417" s="375"/>
      <c r="T417" s="375"/>
      <c r="U417" s="375"/>
      <c r="V417" s="375"/>
      <c r="W417" s="375"/>
      <c r="X417" s="375"/>
      <c r="Y417" s="375"/>
      <c r="Z417" s="375"/>
      <c r="AA417" s="375"/>
      <c r="AB417" s="375"/>
      <c r="AC417" s="396"/>
      <c r="AD417" s="360"/>
      <c r="AE417" s="360"/>
      <c r="AF417" s="360"/>
      <c r="AG417" s="360"/>
      <c r="AH417" s="360"/>
      <c r="AI417" s="360"/>
      <c r="AJ417" s="360"/>
      <c r="AK417" s="360"/>
    </row>
    <row r="418" spans="1:37" hidden="1" x14ac:dyDescent="0.25">
      <c r="A418" s="390"/>
      <c r="B418" s="369"/>
      <c r="C418" s="369"/>
      <c r="D418" s="369"/>
      <c r="E418" s="382"/>
      <c r="F418" s="383"/>
      <c r="G418" s="384"/>
      <c r="H418" s="421"/>
      <c r="I418" s="375"/>
      <c r="J418" s="375"/>
      <c r="K418" s="375"/>
      <c r="L418" s="375"/>
      <c r="M418" s="375"/>
      <c r="N418" s="375"/>
      <c r="O418" s="375"/>
      <c r="P418" s="375"/>
      <c r="Q418" s="375"/>
      <c r="R418" s="375"/>
      <c r="S418" s="375"/>
      <c r="T418" s="375"/>
      <c r="U418" s="375"/>
      <c r="V418" s="375"/>
      <c r="W418" s="375"/>
      <c r="X418" s="375"/>
      <c r="Y418" s="375"/>
      <c r="Z418" s="375"/>
      <c r="AA418" s="375"/>
      <c r="AB418" s="375"/>
      <c r="AC418" s="396"/>
      <c r="AD418" s="360"/>
      <c r="AE418" s="360"/>
      <c r="AF418" s="360"/>
      <c r="AG418" s="360"/>
      <c r="AH418" s="360"/>
      <c r="AI418" s="360"/>
      <c r="AJ418" s="360"/>
      <c r="AK418" s="360"/>
    </row>
    <row r="419" spans="1:37" hidden="1" x14ac:dyDescent="0.25">
      <c r="A419" s="390"/>
      <c r="B419" s="369"/>
      <c r="C419" s="369"/>
      <c r="D419" s="369"/>
      <c r="E419" s="382"/>
      <c r="F419" s="383"/>
      <c r="G419" s="384"/>
      <c r="H419" s="421"/>
      <c r="I419" s="375"/>
      <c r="J419" s="375"/>
      <c r="K419" s="375"/>
      <c r="L419" s="375"/>
      <c r="M419" s="375"/>
      <c r="N419" s="375"/>
      <c r="O419" s="375"/>
      <c r="P419" s="375"/>
      <c r="Q419" s="375"/>
      <c r="R419" s="375"/>
      <c r="S419" s="375"/>
      <c r="T419" s="375"/>
      <c r="U419" s="375"/>
      <c r="V419" s="375"/>
      <c r="W419" s="375"/>
      <c r="X419" s="375"/>
      <c r="Y419" s="375"/>
      <c r="Z419" s="375"/>
      <c r="AA419" s="375"/>
      <c r="AB419" s="375"/>
      <c r="AC419" s="396"/>
      <c r="AD419" s="360"/>
      <c r="AE419" s="360"/>
      <c r="AF419" s="360"/>
      <c r="AG419" s="360"/>
      <c r="AH419" s="360"/>
      <c r="AI419" s="360"/>
      <c r="AJ419" s="360"/>
      <c r="AK419" s="360"/>
    </row>
    <row r="420" spans="1:37" hidden="1" x14ac:dyDescent="0.25">
      <c r="A420" s="390"/>
      <c r="B420" s="369"/>
      <c r="C420" s="369"/>
      <c r="D420" s="369"/>
      <c r="E420" s="382"/>
      <c r="F420" s="383"/>
      <c r="G420" s="384"/>
      <c r="H420" s="421"/>
      <c r="I420" s="375"/>
      <c r="J420" s="375"/>
      <c r="K420" s="375"/>
      <c r="L420" s="375"/>
      <c r="M420" s="375"/>
      <c r="N420" s="375"/>
      <c r="O420" s="375"/>
      <c r="P420" s="375"/>
      <c r="Q420" s="375"/>
      <c r="R420" s="375"/>
      <c r="S420" s="375"/>
      <c r="T420" s="375"/>
      <c r="U420" s="375"/>
      <c r="V420" s="375"/>
      <c r="W420" s="375"/>
      <c r="X420" s="375"/>
      <c r="Y420" s="375"/>
      <c r="Z420" s="375"/>
      <c r="AA420" s="375"/>
      <c r="AB420" s="375"/>
      <c r="AC420" s="396"/>
      <c r="AD420" s="360"/>
      <c r="AE420" s="360"/>
      <c r="AF420" s="360"/>
      <c r="AG420" s="360"/>
      <c r="AH420" s="360"/>
      <c r="AI420" s="360"/>
      <c r="AJ420" s="360"/>
      <c r="AK420" s="360"/>
    </row>
    <row r="421" spans="1:37" hidden="1" x14ac:dyDescent="0.25">
      <c r="A421" s="390"/>
      <c r="B421" s="369"/>
      <c r="C421" s="369"/>
      <c r="D421" s="369"/>
      <c r="E421" s="382"/>
      <c r="F421" s="383"/>
      <c r="G421" s="384"/>
      <c r="H421" s="421"/>
      <c r="I421" s="375"/>
      <c r="J421" s="375"/>
      <c r="K421" s="375"/>
      <c r="L421" s="375"/>
      <c r="M421" s="375"/>
      <c r="N421" s="375"/>
      <c r="O421" s="375"/>
      <c r="P421" s="375"/>
      <c r="Q421" s="375"/>
      <c r="R421" s="375"/>
      <c r="S421" s="375"/>
      <c r="T421" s="375"/>
      <c r="U421" s="375"/>
      <c r="V421" s="375"/>
      <c r="W421" s="375"/>
      <c r="X421" s="375"/>
      <c r="Y421" s="375"/>
      <c r="Z421" s="375"/>
      <c r="AA421" s="375"/>
      <c r="AB421" s="375"/>
      <c r="AC421" s="396"/>
      <c r="AD421" s="360"/>
      <c r="AE421" s="360"/>
      <c r="AF421" s="360"/>
      <c r="AG421" s="360"/>
      <c r="AH421" s="360"/>
      <c r="AI421" s="360"/>
      <c r="AJ421" s="360"/>
      <c r="AK421" s="360"/>
    </row>
    <row r="422" spans="1:37" s="386" customFormat="1" hidden="1" x14ac:dyDescent="0.25">
      <c r="A422" s="409"/>
      <c r="B422" s="406"/>
      <c r="C422" s="406"/>
      <c r="D422" s="406"/>
      <c r="E422" s="407"/>
      <c r="F422" s="407"/>
      <c r="G422" s="407">
        <v>2011</v>
      </c>
      <c r="H422" s="407"/>
      <c r="I422" s="407"/>
      <c r="J422" s="407"/>
      <c r="K422" s="407"/>
      <c r="L422" s="407"/>
      <c r="M422" s="407"/>
      <c r="N422" s="407"/>
      <c r="O422" s="407"/>
      <c r="P422" s="407"/>
      <c r="Q422" s="407"/>
      <c r="R422" s="407"/>
      <c r="S422" s="407"/>
      <c r="T422" s="407"/>
      <c r="U422" s="407"/>
      <c r="V422" s="407"/>
      <c r="W422" s="407"/>
      <c r="X422" s="407"/>
      <c r="Y422" s="407"/>
      <c r="Z422" s="407"/>
      <c r="AA422" s="407"/>
      <c r="AB422" s="407"/>
      <c r="AC422" s="413"/>
    </row>
    <row r="423" spans="1:37" x14ac:dyDescent="0.25">
      <c r="A423" s="422" t="s">
        <v>622</v>
      </c>
      <c r="B423" s="436" t="s">
        <v>505</v>
      </c>
      <c r="C423" s="436" t="s">
        <v>498</v>
      </c>
      <c r="D423" s="436" t="s">
        <v>904</v>
      </c>
      <c r="E423" s="420"/>
      <c r="F423" s="420"/>
      <c r="G423" s="420">
        <v>2.83</v>
      </c>
      <c r="H423" s="421">
        <v>2011</v>
      </c>
      <c r="I423" s="421">
        <v>2.83</v>
      </c>
      <c r="J423" s="421">
        <v>2015</v>
      </c>
      <c r="K423" s="421">
        <v>2.6020699999999999</v>
      </c>
      <c r="L423" s="430">
        <v>2.9313248999999999</v>
      </c>
      <c r="M423" s="430"/>
      <c r="N423" s="430">
        <f>3.0217489</f>
        <v>3.0217489</v>
      </c>
      <c r="O423" s="430">
        <v>3.0169999999999999</v>
      </c>
      <c r="P423" s="430">
        <v>3.3364218999999999</v>
      </c>
      <c r="Q423" s="430">
        <v>3.125</v>
      </c>
      <c r="R423" s="430"/>
      <c r="S423" s="430">
        <v>3.5979999999999999</v>
      </c>
      <c r="T423" s="430">
        <v>3.9220000000000002</v>
      </c>
      <c r="U423" s="430">
        <v>4.8374914999999996</v>
      </c>
      <c r="V423" s="430">
        <v>2.637</v>
      </c>
      <c r="W423" s="430"/>
      <c r="X423" s="430">
        <v>4.2709999999999999</v>
      </c>
      <c r="Y423" s="430">
        <v>6.5609999999999999</v>
      </c>
      <c r="Z423" s="430">
        <v>8.6977696000000009</v>
      </c>
      <c r="AA423" s="421" t="s">
        <v>985</v>
      </c>
      <c r="AB423" s="421" t="s">
        <v>1058</v>
      </c>
      <c r="AC423" s="419" t="s">
        <v>875</v>
      </c>
      <c r="AD423" s="377" t="s">
        <v>986</v>
      </c>
      <c r="AE423" s="360"/>
      <c r="AF423" s="360"/>
      <c r="AG423" s="360"/>
      <c r="AH423" s="360"/>
      <c r="AI423" s="360"/>
      <c r="AJ423" s="360"/>
      <c r="AK423" s="360"/>
    </row>
    <row r="424" spans="1:37" hidden="1" x14ac:dyDescent="0.25">
      <c r="A424" s="389"/>
      <c r="B424" s="435"/>
      <c r="C424" s="372"/>
      <c r="D424" s="372"/>
      <c r="E424" s="379"/>
      <c r="F424" s="380"/>
      <c r="G424" s="381"/>
      <c r="H424" s="375"/>
      <c r="I424" s="375"/>
      <c r="J424" s="375"/>
      <c r="K424" s="375"/>
      <c r="L424" s="375"/>
      <c r="M424" s="375"/>
      <c r="N424" s="431"/>
      <c r="O424" s="431"/>
      <c r="P424" s="431"/>
      <c r="Q424" s="431"/>
      <c r="R424" s="431"/>
      <c r="S424" s="431"/>
      <c r="T424" s="431"/>
      <c r="U424" s="431"/>
      <c r="V424" s="431"/>
      <c r="W424" s="431"/>
      <c r="X424" s="431"/>
      <c r="Y424" s="431"/>
      <c r="Z424" s="431"/>
      <c r="AA424" s="375"/>
      <c r="AB424" s="375"/>
      <c r="AC424" s="401"/>
      <c r="AD424" s="377"/>
      <c r="AE424" s="360"/>
      <c r="AF424" s="360"/>
      <c r="AG424" s="360"/>
      <c r="AH424" s="360"/>
      <c r="AI424" s="360"/>
      <c r="AJ424" s="360"/>
      <c r="AK424" s="360"/>
    </row>
    <row r="425" spans="1:37" hidden="1" x14ac:dyDescent="0.25">
      <c r="A425" s="389"/>
      <c r="B425" s="435"/>
      <c r="C425" s="372"/>
      <c r="D425" s="372"/>
      <c r="E425" s="379"/>
      <c r="F425" s="380"/>
      <c r="G425" s="381"/>
      <c r="H425" s="375"/>
      <c r="I425" s="375"/>
      <c r="J425" s="375"/>
      <c r="K425" s="375"/>
      <c r="L425" s="375"/>
      <c r="M425" s="375"/>
      <c r="N425" s="431"/>
      <c r="O425" s="431"/>
      <c r="P425" s="431"/>
      <c r="Q425" s="431"/>
      <c r="R425" s="431"/>
      <c r="S425" s="431"/>
      <c r="T425" s="431"/>
      <c r="U425" s="431"/>
      <c r="V425" s="431"/>
      <c r="W425" s="431"/>
      <c r="X425" s="431"/>
      <c r="Y425" s="431"/>
      <c r="Z425" s="431"/>
      <c r="AA425" s="375"/>
      <c r="AB425" s="375"/>
      <c r="AC425" s="401"/>
      <c r="AD425" s="377"/>
      <c r="AE425" s="360"/>
      <c r="AF425" s="360"/>
      <c r="AG425" s="360"/>
      <c r="AH425" s="360"/>
      <c r="AI425" s="360"/>
      <c r="AJ425" s="360"/>
      <c r="AK425" s="360"/>
    </row>
    <row r="426" spans="1:37" hidden="1" x14ac:dyDescent="0.25">
      <c r="A426" s="389"/>
      <c r="B426" s="435"/>
      <c r="C426" s="372"/>
      <c r="D426" s="372"/>
      <c r="E426" s="379"/>
      <c r="F426" s="380"/>
      <c r="G426" s="381"/>
      <c r="H426" s="375"/>
      <c r="I426" s="375"/>
      <c r="J426" s="375"/>
      <c r="K426" s="375"/>
      <c r="L426" s="375"/>
      <c r="M426" s="375"/>
      <c r="N426" s="431"/>
      <c r="O426" s="431"/>
      <c r="P426" s="431"/>
      <c r="Q426" s="431"/>
      <c r="R426" s="431"/>
      <c r="S426" s="431"/>
      <c r="T426" s="431"/>
      <c r="U426" s="431"/>
      <c r="V426" s="431"/>
      <c r="W426" s="431"/>
      <c r="X426" s="431"/>
      <c r="Y426" s="431"/>
      <c r="Z426" s="431"/>
      <c r="AA426" s="375"/>
      <c r="AB426" s="375"/>
      <c r="AC426" s="401"/>
      <c r="AD426" s="377"/>
      <c r="AE426" s="360"/>
      <c r="AF426" s="360"/>
      <c r="AG426" s="360"/>
      <c r="AH426" s="360"/>
      <c r="AI426" s="360"/>
      <c r="AJ426" s="360"/>
      <c r="AK426" s="360"/>
    </row>
    <row r="427" spans="1:37" hidden="1" x14ac:dyDescent="0.25">
      <c r="A427" s="389"/>
      <c r="B427" s="435"/>
      <c r="C427" s="372"/>
      <c r="D427" s="372"/>
      <c r="E427" s="379"/>
      <c r="F427" s="380"/>
      <c r="G427" s="381"/>
      <c r="H427" s="375"/>
      <c r="I427" s="375"/>
      <c r="J427" s="375"/>
      <c r="K427" s="375"/>
      <c r="L427" s="375"/>
      <c r="M427" s="375"/>
      <c r="N427" s="431"/>
      <c r="O427" s="431"/>
      <c r="P427" s="431"/>
      <c r="Q427" s="431"/>
      <c r="R427" s="431"/>
      <c r="S427" s="431"/>
      <c r="T427" s="431"/>
      <c r="U427" s="431"/>
      <c r="V427" s="431"/>
      <c r="W427" s="431"/>
      <c r="X427" s="431"/>
      <c r="Y427" s="431"/>
      <c r="Z427" s="431"/>
      <c r="AA427" s="375"/>
      <c r="AB427" s="375"/>
      <c r="AC427" s="401"/>
      <c r="AD427" s="377"/>
      <c r="AE427" s="360"/>
      <c r="AF427" s="360"/>
      <c r="AG427" s="360"/>
      <c r="AH427" s="360"/>
      <c r="AI427" s="360"/>
      <c r="AJ427" s="360"/>
      <c r="AK427" s="360"/>
    </row>
    <row r="428" spans="1:37" hidden="1" x14ac:dyDescent="0.25">
      <c r="A428" s="389"/>
      <c r="B428" s="435"/>
      <c r="C428" s="372"/>
      <c r="D428" s="372"/>
      <c r="E428" s="379"/>
      <c r="F428" s="380"/>
      <c r="G428" s="381"/>
      <c r="H428" s="375"/>
      <c r="I428" s="375"/>
      <c r="J428" s="375"/>
      <c r="K428" s="375"/>
      <c r="L428" s="375"/>
      <c r="M428" s="375"/>
      <c r="N428" s="431"/>
      <c r="O428" s="431"/>
      <c r="P428" s="431"/>
      <c r="Q428" s="431"/>
      <c r="R428" s="431"/>
      <c r="S428" s="431"/>
      <c r="T428" s="431"/>
      <c r="U428" s="431"/>
      <c r="V428" s="431"/>
      <c r="W428" s="431"/>
      <c r="X428" s="431"/>
      <c r="Y428" s="431"/>
      <c r="Z428" s="431"/>
      <c r="AA428" s="375"/>
      <c r="AB428" s="375"/>
      <c r="AC428" s="401"/>
      <c r="AD428" s="377"/>
      <c r="AE428" s="360"/>
      <c r="AF428" s="360"/>
      <c r="AG428" s="360"/>
      <c r="AH428" s="360"/>
      <c r="AI428" s="360"/>
      <c r="AJ428" s="360"/>
      <c r="AK428" s="360"/>
    </row>
    <row r="429" spans="1:37" hidden="1" x14ac:dyDescent="0.25">
      <c r="A429" s="389"/>
      <c r="B429" s="435"/>
      <c r="C429" s="372"/>
      <c r="D429" s="372"/>
      <c r="E429" s="382"/>
      <c r="F429" s="383"/>
      <c r="G429" s="384"/>
      <c r="H429" s="375"/>
      <c r="I429" s="375"/>
      <c r="J429" s="375"/>
      <c r="K429" s="375"/>
      <c r="L429" s="375"/>
      <c r="M429" s="375"/>
      <c r="N429" s="431"/>
      <c r="O429" s="431"/>
      <c r="P429" s="431"/>
      <c r="Q429" s="431"/>
      <c r="R429" s="431"/>
      <c r="S429" s="431"/>
      <c r="T429" s="431"/>
      <c r="U429" s="431"/>
      <c r="V429" s="431"/>
      <c r="W429" s="431"/>
      <c r="X429" s="431"/>
      <c r="Y429" s="431"/>
      <c r="Z429" s="431"/>
      <c r="AA429" s="375"/>
      <c r="AB429" s="375"/>
      <c r="AC429" s="401"/>
      <c r="AD429" s="377"/>
      <c r="AE429" s="360"/>
      <c r="AF429" s="360"/>
      <c r="AG429" s="360"/>
      <c r="AH429" s="360"/>
      <c r="AI429" s="360"/>
      <c r="AJ429" s="360"/>
      <c r="AK429" s="360"/>
    </row>
    <row r="430" spans="1:37" hidden="1" x14ac:dyDescent="0.25">
      <c r="A430" s="389"/>
      <c r="B430" s="435"/>
      <c r="C430" s="372"/>
      <c r="D430" s="372"/>
      <c r="E430" s="382"/>
      <c r="F430" s="383"/>
      <c r="G430" s="384"/>
      <c r="H430" s="375"/>
      <c r="I430" s="375"/>
      <c r="J430" s="375"/>
      <c r="K430" s="375"/>
      <c r="L430" s="375"/>
      <c r="M430" s="375"/>
      <c r="N430" s="431"/>
      <c r="O430" s="431"/>
      <c r="P430" s="431"/>
      <c r="Q430" s="431"/>
      <c r="R430" s="431"/>
      <c r="S430" s="431"/>
      <c r="T430" s="431"/>
      <c r="U430" s="431"/>
      <c r="V430" s="431"/>
      <c r="W430" s="431"/>
      <c r="X430" s="431"/>
      <c r="Y430" s="431"/>
      <c r="Z430" s="431"/>
      <c r="AA430" s="375"/>
      <c r="AB430" s="375"/>
      <c r="AC430" s="401"/>
      <c r="AD430" s="377"/>
      <c r="AE430" s="360"/>
      <c r="AF430" s="360"/>
      <c r="AG430" s="360"/>
      <c r="AH430" s="360"/>
      <c r="AI430" s="360"/>
      <c r="AJ430" s="360"/>
      <c r="AK430" s="360"/>
    </row>
    <row r="431" spans="1:37" hidden="1" x14ac:dyDescent="0.25">
      <c r="A431" s="389"/>
      <c r="B431" s="435"/>
      <c r="C431" s="372"/>
      <c r="D431" s="372"/>
      <c r="E431" s="382"/>
      <c r="F431" s="383"/>
      <c r="G431" s="384"/>
      <c r="H431" s="375"/>
      <c r="I431" s="375"/>
      <c r="J431" s="375"/>
      <c r="K431" s="375"/>
      <c r="L431" s="375"/>
      <c r="M431" s="375"/>
      <c r="N431" s="431"/>
      <c r="O431" s="431"/>
      <c r="P431" s="431"/>
      <c r="Q431" s="431"/>
      <c r="R431" s="431"/>
      <c r="S431" s="431"/>
      <c r="T431" s="431"/>
      <c r="U431" s="431"/>
      <c r="V431" s="431"/>
      <c r="W431" s="431"/>
      <c r="X431" s="431"/>
      <c r="Y431" s="431"/>
      <c r="Z431" s="431"/>
      <c r="AA431" s="375"/>
      <c r="AB431" s="375"/>
      <c r="AC431" s="401"/>
      <c r="AD431" s="377"/>
      <c r="AE431" s="360"/>
      <c r="AF431" s="360"/>
      <c r="AG431" s="360"/>
      <c r="AH431" s="360"/>
      <c r="AI431" s="360"/>
      <c r="AJ431" s="360"/>
      <c r="AK431" s="360"/>
    </row>
    <row r="432" spans="1:37" hidden="1" x14ac:dyDescent="0.25">
      <c r="A432" s="389"/>
      <c r="B432" s="435"/>
      <c r="C432" s="372"/>
      <c r="D432" s="372"/>
      <c r="E432" s="382"/>
      <c r="F432" s="383"/>
      <c r="G432" s="384"/>
      <c r="H432" s="375"/>
      <c r="I432" s="375"/>
      <c r="J432" s="375"/>
      <c r="K432" s="375"/>
      <c r="L432" s="375"/>
      <c r="M432" s="375"/>
      <c r="N432" s="431"/>
      <c r="O432" s="431"/>
      <c r="P432" s="431"/>
      <c r="Q432" s="431"/>
      <c r="R432" s="431"/>
      <c r="S432" s="431"/>
      <c r="T432" s="431"/>
      <c r="U432" s="431"/>
      <c r="V432" s="431"/>
      <c r="W432" s="431"/>
      <c r="X432" s="431"/>
      <c r="Y432" s="431"/>
      <c r="Z432" s="431"/>
      <c r="AA432" s="375"/>
      <c r="AB432" s="375"/>
      <c r="AC432" s="401"/>
      <c r="AD432" s="377"/>
      <c r="AE432" s="360"/>
      <c r="AF432" s="360"/>
      <c r="AG432" s="360"/>
      <c r="AH432" s="360"/>
      <c r="AI432" s="360"/>
      <c r="AJ432" s="360"/>
      <c r="AK432" s="360"/>
    </row>
    <row r="433" spans="1:37" hidden="1" x14ac:dyDescent="0.25">
      <c r="A433" s="389"/>
      <c r="B433" s="435"/>
      <c r="C433" s="372"/>
      <c r="D433" s="372"/>
      <c r="E433" s="382"/>
      <c r="F433" s="383"/>
      <c r="G433" s="384"/>
      <c r="H433" s="375"/>
      <c r="I433" s="375"/>
      <c r="J433" s="375"/>
      <c r="K433" s="375"/>
      <c r="L433" s="375"/>
      <c r="M433" s="375"/>
      <c r="N433" s="431"/>
      <c r="O433" s="431"/>
      <c r="P433" s="431"/>
      <c r="Q433" s="431"/>
      <c r="R433" s="431"/>
      <c r="S433" s="431"/>
      <c r="T433" s="431"/>
      <c r="U433" s="431"/>
      <c r="V433" s="431"/>
      <c r="W433" s="431"/>
      <c r="X433" s="431"/>
      <c r="Y433" s="431"/>
      <c r="Z433" s="431"/>
      <c r="AA433" s="375"/>
      <c r="AB433" s="375"/>
      <c r="AC433" s="401"/>
      <c r="AD433" s="377"/>
      <c r="AE433" s="360"/>
      <c r="AF433" s="360"/>
      <c r="AG433" s="360"/>
      <c r="AH433" s="360"/>
      <c r="AI433" s="360"/>
      <c r="AJ433" s="360"/>
      <c r="AK433" s="360"/>
    </row>
    <row r="434" spans="1:37" s="386" customFormat="1" hidden="1" x14ac:dyDescent="0.25">
      <c r="A434" s="409"/>
      <c r="B434" s="433"/>
      <c r="C434" s="406"/>
      <c r="D434" s="406"/>
      <c r="E434" s="407"/>
      <c r="F434" s="407"/>
      <c r="G434" s="407">
        <v>2011</v>
      </c>
      <c r="H434" s="407"/>
      <c r="I434" s="407"/>
      <c r="J434" s="407"/>
      <c r="K434" s="407"/>
      <c r="L434" s="407"/>
      <c r="M434" s="407"/>
      <c r="N434" s="407"/>
      <c r="O434" s="407"/>
      <c r="P434" s="392">
        <v>2.6296694999999999</v>
      </c>
      <c r="Q434" s="392"/>
      <c r="R434" s="392"/>
      <c r="S434" s="392"/>
      <c r="T434" s="392"/>
      <c r="U434" s="392"/>
      <c r="V434" s="392"/>
      <c r="W434" s="392"/>
      <c r="X434" s="392"/>
      <c r="Y434" s="392"/>
      <c r="Z434" s="392"/>
      <c r="AA434" s="407"/>
      <c r="AB434" s="407"/>
      <c r="AC434" s="414"/>
    </row>
    <row r="435" spans="1:37" x14ac:dyDescent="0.25">
      <c r="A435" s="422" t="s">
        <v>623</v>
      </c>
      <c r="B435" s="436" t="s">
        <v>658</v>
      </c>
      <c r="C435" s="436" t="s">
        <v>498</v>
      </c>
      <c r="D435" s="436" t="s">
        <v>904</v>
      </c>
      <c r="E435" s="420"/>
      <c r="F435" s="420"/>
      <c r="G435" s="420">
        <v>1.82</v>
      </c>
      <c r="H435" s="421">
        <v>2011</v>
      </c>
      <c r="I435" s="421">
        <v>1.82</v>
      </c>
      <c r="J435" s="421">
        <v>2015</v>
      </c>
      <c r="K435" s="421">
        <v>2.21557</v>
      </c>
      <c r="L435" s="430">
        <v>2.4343537</v>
      </c>
      <c r="M435" s="430"/>
      <c r="N435" s="430">
        <v>2.4919891000000001</v>
      </c>
      <c r="O435" s="430">
        <v>2.5009999999999999</v>
      </c>
      <c r="P435" s="430">
        <v>2.6296694999999999</v>
      </c>
      <c r="Q435" s="430">
        <v>2.7229999999999999</v>
      </c>
      <c r="R435" s="430"/>
      <c r="S435" s="430">
        <v>3.0819999999999999</v>
      </c>
      <c r="T435" s="430">
        <v>3.28</v>
      </c>
      <c r="U435" s="430">
        <v>3.7644280000000001</v>
      </c>
      <c r="V435" s="430">
        <v>2.38</v>
      </c>
      <c r="W435" s="430"/>
      <c r="X435" s="430">
        <v>3.802</v>
      </c>
      <c r="Y435" s="430">
        <v>5.6079999999999997</v>
      </c>
      <c r="Z435" s="430">
        <v>7.3269913000000004</v>
      </c>
      <c r="AA435" s="421" t="s">
        <v>985</v>
      </c>
      <c r="AB435" s="421" t="s">
        <v>1182</v>
      </c>
      <c r="AC435" s="419" t="s">
        <v>875</v>
      </c>
      <c r="AD435" s="377" t="s">
        <v>986</v>
      </c>
      <c r="AE435" s="360"/>
      <c r="AF435" s="360"/>
      <c r="AG435" s="360"/>
      <c r="AH435" s="360"/>
      <c r="AI435" s="360"/>
      <c r="AJ435" s="360"/>
      <c r="AK435" s="360"/>
    </row>
    <row r="436" spans="1:37" hidden="1" x14ac:dyDescent="0.25">
      <c r="A436" s="389"/>
      <c r="B436" s="435"/>
      <c r="C436" s="372"/>
      <c r="D436" s="372"/>
      <c r="E436" s="379"/>
      <c r="F436" s="380"/>
      <c r="G436" s="381"/>
      <c r="H436" s="375"/>
      <c r="I436" s="375"/>
      <c r="J436" s="375"/>
      <c r="K436" s="375"/>
      <c r="L436" s="375"/>
      <c r="M436" s="375"/>
      <c r="N436" s="431"/>
      <c r="O436" s="431"/>
      <c r="P436" s="431"/>
      <c r="Q436" s="431"/>
      <c r="R436" s="431"/>
      <c r="S436" s="431"/>
      <c r="T436" s="431"/>
      <c r="U436" s="431"/>
      <c r="V436" s="431"/>
      <c r="W436" s="431"/>
      <c r="X436" s="431"/>
      <c r="Y436" s="431"/>
      <c r="Z436" s="431"/>
      <c r="AA436" s="375"/>
      <c r="AB436" s="375"/>
      <c r="AC436" s="401"/>
      <c r="AD436" s="377"/>
      <c r="AE436" s="360"/>
      <c r="AF436" s="360"/>
      <c r="AG436" s="360"/>
      <c r="AH436" s="360"/>
      <c r="AI436" s="360"/>
      <c r="AJ436" s="360"/>
      <c r="AK436" s="360"/>
    </row>
    <row r="437" spans="1:37" hidden="1" x14ac:dyDescent="0.25">
      <c r="A437" s="389"/>
      <c r="B437" s="435"/>
      <c r="C437" s="372"/>
      <c r="D437" s="372"/>
      <c r="E437" s="379"/>
      <c r="F437" s="380"/>
      <c r="G437" s="381"/>
      <c r="H437" s="375"/>
      <c r="I437" s="375"/>
      <c r="J437" s="375"/>
      <c r="K437" s="375"/>
      <c r="L437" s="375"/>
      <c r="M437" s="375"/>
      <c r="N437" s="431"/>
      <c r="O437" s="431"/>
      <c r="P437" s="431"/>
      <c r="Q437" s="431"/>
      <c r="R437" s="431"/>
      <c r="S437" s="431"/>
      <c r="T437" s="431"/>
      <c r="U437" s="431"/>
      <c r="V437" s="431"/>
      <c r="W437" s="431"/>
      <c r="X437" s="431"/>
      <c r="Y437" s="431"/>
      <c r="Z437" s="431"/>
      <c r="AA437" s="375"/>
      <c r="AB437" s="375"/>
      <c r="AC437" s="401"/>
      <c r="AD437" s="377"/>
      <c r="AE437" s="360"/>
      <c r="AF437" s="360"/>
      <c r="AG437" s="360"/>
      <c r="AH437" s="360"/>
      <c r="AI437" s="360"/>
      <c r="AJ437" s="360"/>
      <c r="AK437" s="360"/>
    </row>
    <row r="438" spans="1:37" hidden="1" x14ac:dyDescent="0.25">
      <c r="A438" s="389"/>
      <c r="B438" s="435"/>
      <c r="C438" s="372"/>
      <c r="D438" s="372"/>
      <c r="E438" s="379"/>
      <c r="F438" s="380"/>
      <c r="G438" s="381"/>
      <c r="H438" s="375"/>
      <c r="I438" s="375"/>
      <c r="J438" s="375"/>
      <c r="K438" s="375"/>
      <c r="L438" s="375"/>
      <c r="M438" s="375"/>
      <c r="N438" s="431"/>
      <c r="O438" s="431"/>
      <c r="P438" s="431"/>
      <c r="Q438" s="431"/>
      <c r="R438" s="431"/>
      <c r="S438" s="431"/>
      <c r="T438" s="431"/>
      <c r="U438" s="431"/>
      <c r="V438" s="431"/>
      <c r="W438" s="431"/>
      <c r="X438" s="431"/>
      <c r="Y438" s="431"/>
      <c r="Z438" s="431"/>
      <c r="AA438" s="375"/>
      <c r="AB438" s="375"/>
      <c r="AC438" s="401"/>
      <c r="AD438" s="377"/>
      <c r="AE438" s="360"/>
      <c r="AF438" s="360"/>
      <c r="AG438" s="360"/>
      <c r="AH438" s="360"/>
      <c r="AI438" s="360"/>
      <c r="AJ438" s="360"/>
      <c r="AK438" s="360"/>
    </row>
    <row r="439" spans="1:37" hidden="1" x14ac:dyDescent="0.25">
      <c r="A439" s="389"/>
      <c r="B439" s="435"/>
      <c r="C439" s="372"/>
      <c r="D439" s="372"/>
      <c r="E439" s="379"/>
      <c r="F439" s="380"/>
      <c r="G439" s="381"/>
      <c r="H439" s="375"/>
      <c r="I439" s="375"/>
      <c r="J439" s="375"/>
      <c r="K439" s="375"/>
      <c r="L439" s="375"/>
      <c r="M439" s="375"/>
      <c r="N439" s="431"/>
      <c r="O439" s="431"/>
      <c r="P439" s="431"/>
      <c r="Q439" s="431"/>
      <c r="R439" s="431"/>
      <c r="S439" s="431"/>
      <c r="T439" s="431"/>
      <c r="U439" s="431"/>
      <c r="V439" s="431"/>
      <c r="W439" s="431"/>
      <c r="X439" s="431"/>
      <c r="Y439" s="431"/>
      <c r="Z439" s="431"/>
      <c r="AA439" s="375"/>
      <c r="AB439" s="375"/>
      <c r="AC439" s="401"/>
      <c r="AD439" s="377"/>
      <c r="AE439" s="360"/>
      <c r="AF439" s="360"/>
      <c r="AG439" s="360"/>
      <c r="AH439" s="360"/>
      <c r="AI439" s="360"/>
      <c r="AJ439" s="360"/>
      <c r="AK439" s="360"/>
    </row>
    <row r="440" spans="1:37" hidden="1" x14ac:dyDescent="0.25">
      <c r="A440" s="389"/>
      <c r="B440" s="435"/>
      <c r="C440" s="372"/>
      <c r="D440" s="372"/>
      <c r="E440" s="379"/>
      <c r="F440" s="380"/>
      <c r="G440" s="381"/>
      <c r="H440" s="375"/>
      <c r="I440" s="375"/>
      <c r="J440" s="375"/>
      <c r="K440" s="375"/>
      <c r="L440" s="375"/>
      <c r="M440" s="375"/>
      <c r="N440" s="431"/>
      <c r="O440" s="431"/>
      <c r="P440" s="431"/>
      <c r="Q440" s="431"/>
      <c r="R440" s="431"/>
      <c r="S440" s="431"/>
      <c r="T440" s="431"/>
      <c r="U440" s="431"/>
      <c r="V440" s="431"/>
      <c r="W440" s="431"/>
      <c r="X440" s="431"/>
      <c r="Y440" s="431"/>
      <c r="Z440" s="431"/>
      <c r="AA440" s="375"/>
      <c r="AB440" s="375"/>
      <c r="AC440" s="401"/>
      <c r="AD440" s="377"/>
      <c r="AE440" s="360"/>
      <c r="AF440" s="360"/>
      <c r="AG440" s="360"/>
      <c r="AH440" s="360"/>
      <c r="AI440" s="360"/>
      <c r="AJ440" s="360"/>
      <c r="AK440" s="360"/>
    </row>
    <row r="441" spans="1:37" hidden="1" x14ac:dyDescent="0.25">
      <c r="A441" s="389"/>
      <c r="B441" s="435"/>
      <c r="C441" s="372"/>
      <c r="D441" s="372"/>
      <c r="E441" s="382"/>
      <c r="F441" s="383"/>
      <c r="G441" s="384"/>
      <c r="H441" s="375"/>
      <c r="I441" s="375"/>
      <c r="J441" s="375"/>
      <c r="K441" s="375"/>
      <c r="L441" s="375"/>
      <c r="M441" s="375"/>
      <c r="N441" s="431"/>
      <c r="O441" s="431"/>
      <c r="P441" s="431"/>
      <c r="Q441" s="431"/>
      <c r="R441" s="431"/>
      <c r="S441" s="431"/>
      <c r="T441" s="431"/>
      <c r="U441" s="431"/>
      <c r="V441" s="431"/>
      <c r="W441" s="431"/>
      <c r="X441" s="431"/>
      <c r="Y441" s="431"/>
      <c r="Z441" s="431"/>
      <c r="AA441" s="375"/>
      <c r="AB441" s="375"/>
      <c r="AC441" s="401"/>
      <c r="AD441" s="377"/>
      <c r="AE441" s="360"/>
      <c r="AF441" s="360"/>
      <c r="AG441" s="360"/>
      <c r="AH441" s="360"/>
      <c r="AI441" s="360"/>
      <c r="AJ441" s="360"/>
      <c r="AK441" s="360"/>
    </row>
    <row r="442" spans="1:37" hidden="1" x14ac:dyDescent="0.25">
      <c r="A442" s="389"/>
      <c r="B442" s="435"/>
      <c r="C442" s="372"/>
      <c r="D442" s="372"/>
      <c r="E442" s="382"/>
      <c r="F442" s="383"/>
      <c r="G442" s="384"/>
      <c r="H442" s="375"/>
      <c r="I442" s="375"/>
      <c r="J442" s="375"/>
      <c r="K442" s="375"/>
      <c r="L442" s="375"/>
      <c r="M442" s="375"/>
      <c r="N442" s="431"/>
      <c r="O442" s="431"/>
      <c r="P442" s="431"/>
      <c r="Q442" s="431"/>
      <c r="R442" s="431"/>
      <c r="S442" s="431"/>
      <c r="T442" s="431"/>
      <c r="U442" s="431"/>
      <c r="V442" s="431"/>
      <c r="W442" s="431"/>
      <c r="X442" s="431"/>
      <c r="Y442" s="431"/>
      <c r="Z442" s="431"/>
      <c r="AA442" s="375"/>
      <c r="AB442" s="375"/>
      <c r="AC442" s="401"/>
      <c r="AD442" s="377"/>
      <c r="AE442" s="360"/>
      <c r="AF442" s="360"/>
      <c r="AG442" s="360"/>
      <c r="AH442" s="360"/>
      <c r="AI442" s="360"/>
      <c r="AJ442" s="360"/>
      <c r="AK442" s="360"/>
    </row>
    <row r="443" spans="1:37" hidden="1" x14ac:dyDescent="0.25">
      <c r="A443" s="389"/>
      <c r="B443" s="435"/>
      <c r="C443" s="372"/>
      <c r="D443" s="372"/>
      <c r="E443" s="382"/>
      <c r="F443" s="383"/>
      <c r="G443" s="384"/>
      <c r="H443" s="375"/>
      <c r="I443" s="375"/>
      <c r="J443" s="375"/>
      <c r="K443" s="375"/>
      <c r="L443" s="375"/>
      <c r="M443" s="375"/>
      <c r="N443" s="431"/>
      <c r="O443" s="431"/>
      <c r="P443" s="431"/>
      <c r="Q443" s="431"/>
      <c r="R443" s="431"/>
      <c r="S443" s="431"/>
      <c r="T443" s="431"/>
      <c r="U443" s="431"/>
      <c r="V443" s="431"/>
      <c r="W443" s="431"/>
      <c r="X443" s="431"/>
      <c r="Y443" s="431"/>
      <c r="Z443" s="431"/>
      <c r="AA443" s="375"/>
      <c r="AB443" s="375"/>
      <c r="AC443" s="401"/>
      <c r="AD443" s="377"/>
      <c r="AE443" s="360"/>
      <c r="AF443" s="360"/>
      <c r="AG443" s="360"/>
      <c r="AH443" s="360"/>
      <c r="AI443" s="360"/>
      <c r="AJ443" s="360"/>
      <c r="AK443" s="360"/>
    </row>
    <row r="444" spans="1:37" hidden="1" x14ac:dyDescent="0.25">
      <c r="A444" s="389"/>
      <c r="B444" s="435"/>
      <c r="C444" s="372"/>
      <c r="D444" s="372"/>
      <c r="E444" s="382"/>
      <c r="F444" s="383"/>
      <c r="G444" s="384"/>
      <c r="H444" s="375"/>
      <c r="I444" s="375"/>
      <c r="J444" s="375"/>
      <c r="K444" s="375"/>
      <c r="L444" s="375"/>
      <c r="M444" s="375"/>
      <c r="N444" s="431"/>
      <c r="O444" s="431"/>
      <c r="P444" s="431"/>
      <c r="Q444" s="431"/>
      <c r="R444" s="431"/>
      <c r="S444" s="431"/>
      <c r="T444" s="431"/>
      <c r="U444" s="431"/>
      <c r="V444" s="431"/>
      <c r="W444" s="431"/>
      <c r="X444" s="431"/>
      <c r="Y444" s="431"/>
      <c r="Z444" s="431"/>
      <c r="AA444" s="375"/>
      <c r="AB444" s="375"/>
      <c r="AC444" s="401"/>
      <c r="AD444" s="377"/>
      <c r="AE444" s="360"/>
      <c r="AF444" s="360"/>
      <c r="AG444" s="360"/>
      <c r="AH444" s="360"/>
      <c r="AI444" s="360"/>
      <c r="AJ444" s="360"/>
      <c r="AK444" s="360"/>
    </row>
    <row r="445" spans="1:37" hidden="1" x14ac:dyDescent="0.25">
      <c r="A445" s="389"/>
      <c r="B445" s="435"/>
      <c r="C445" s="372"/>
      <c r="D445" s="372"/>
      <c r="E445" s="382"/>
      <c r="F445" s="383"/>
      <c r="G445" s="384"/>
      <c r="H445" s="375"/>
      <c r="I445" s="375"/>
      <c r="J445" s="375"/>
      <c r="K445" s="375"/>
      <c r="L445" s="375"/>
      <c r="M445" s="375"/>
      <c r="N445" s="431"/>
      <c r="O445" s="431"/>
      <c r="P445" s="431"/>
      <c r="Q445" s="431"/>
      <c r="R445" s="431"/>
      <c r="S445" s="431"/>
      <c r="T445" s="431"/>
      <c r="U445" s="431"/>
      <c r="V445" s="431"/>
      <c r="W445" s="431"/>
      <c r="X445" s="431"/>
      <c r="Y445" s="431"/>
      <c r="Z445" s="431"/>
      <c r="AA445" s="375"/>
      <c r="AB445" s="375"/>
      <c r="AC445" s="401"/>
      <c r="AD445" s="377"/>
      <c r="AE445" s="360"/>
      <c r="AF445" s="360"/>
      <c r="AG445" s="360"/>
      <c r="AH445" s="360"/>
      <c r="AI445" s="360"/>
      <c r="AJ445" s="360"/>
      <c r="AK445" s="360"/>
    </row>
    <row r="446" spans="1:37" s="386" customFormat="1" hidden="1" x14ac:dyDescent="0.25">
      <c r="A446" s="409"/>
      <c r="B446" s="433"/>
      <c r="C446" s="406"/>
      <c r="D446" s="406"/>
      <c r="E446" s="407">
        <v>2005</v>
      </c>
      <c r="F446" s="407">
        <v>2010</v>
      </c>
      <c r="G446" s="407">
        <v>2020</v>
      </c>
      <c r="H446" s="407"/>
      <c r="I446" s="407"/>
      <c r="J446" s="407"/>
      <c r="K446" s="407"/>
      <c r="L446" s="407"/>
      <c r="M446" s="407"/>
      <c r="N446" s="407"/>
      <c r="O446" s="407"/>
      <c r="P446" s="407"/>
      <c r="Q446" s="407"/>
      <c r="R446" s="407"/>
      <c r="S446" s="407"/>
      <c r="T446" s="407"/>
      <c r="U446" s="407"/>
      <c r="V446" s="407"/>
      <c r="W446" s="407"/>
      <c r="X446" s="407"/>
      <c r="Y446" s="407"/>
      <c r="Z446" s="407"/>
      <c r="AA446" s="407"/>
      <c r="AB446" s="407"/>
      <c r="AC446" s="413"/>
    </row>
    <row r="447" spans="1:37" x14ac:dyDescent="0.25">
      <c r="A447" s="422" t="s">
        <v>624</v>
      </c>
      <c r="B447" s="436" t="s">
        <v>1029</v>
      </c>
      <c r="C447" s="436" t="s">
        <v>499</v>
      </c>
      <c r="D447" s="436" t="s">
        <v>1083</v>
      </c>
      <c r="E447" s="420">
        <v>0.91300000000000003</v>
      </c>
      <c r="F447" s="420">
        <v>0.98899999999999999</v>
      </c>
      <c r="G447" s="420">
        <v>1.2410000000000001</v>
      </c>
      <c r="H447" s="421">
        <v>2020</v>
      </c>
      <c r="I447" s="421">
        <v>1.2410000000000001</v>
      </c>
      <c r="J447" s="421">
        <v>2015</v>
      </c>
      <c r="K447" s="421">
        <v>1.22865</v>
      </c>
      <c r="L447" s="430">
        <v>1.4725360000000001</v>
      </c>
      <c r="M447" s="430"/>
      <c r="N447" s="430">
        <v>1.4947785</v>
      </c>
      <c r="O447" s="430">
        <v>1.4830000000000001</v>
      </c>
      <c r="P447" s="430">
        <v>1.6029602000000001</v>
      </c>
      <c r="Q447" s="430">
        <v>1.7589999999999999</v>
      </c>
      <c r="R447" s="430"/>
      <c r="S447" s="430">
        <v>1.9359999999999999</v>
      </c>
      <c r="T447" s="430">
        <v>2.0529999999999999</v>
      </c>
      <c r="U447" s="430">
        <v>2.4804900000000001</v>
      </c>
      <c r="V447" s="430">
        <v>1.7609999999999999</v>
      </c>
      <c r="W447" s="430"/>
      <c r="X447" s="430">
        <v>2.653</v>
      </c>
      <c r="Y447" s="430">
        <v>3.7629999999999999</v>
      </c>
      <c r="Z447" s="430">
        <v>5.0519664999999998</v>
      </c>
      <c r="AA447" s="421" t="s">
        <v>985</v>
      </c>
      <c r="AB447" s="421" t="s">
        <v>1183</v>
      </c>
      <c r="AC447" s="419" t="s">
        <v>986</v>
      </c>
      <c r="AD447" s="360"/>
      <c r="AE447" s="360"/>
      <c r="AF447" s="360"/>
      <c r="AG447" s="360"/>
      <c r="AH447" s="360"/>
      <c r="AI447" s="360"/>
      <c r="AJ447" s="360"/>
      <c r="AK447" s="360"/>
    </row>
    <row r="448" spans="1:37" hidden="1" x14ac:dyDescent="0.25">
      <c r="A448" s="389"/>
      <c r="B448" s="372"/>
      <c r="C448" s="372"/>
      <c r="D448" s="372"/>
      <c r="E448" s="379"/>
      <c r="F448" s="380"/>
      <c r="G448" s="381"/>
      <c r="H448" s="421"/>
      <c r="I448" s="375"/>
      <c r="J448" s="375"/>
      <c r="K448" s="375"/>
      <c r="L448" s="375"/>
      <c r="M448" s="375"/>
      <c r="N448" s="431"/>
      <c r="O448" s="431"/>
      <c r="P448" s="431"/>
      <c r="Q448" s="431"/>
      <c r="R448" s="431"/>
      <c r="S448" s="431"/>
      <c r="T448" s="431"/>
      <c r="U448" s="431"/>
      <c r="V448" s="431"/>
      <c r="W448" s="431"/>
      <c r="X448" s="431"/>
      <c r="Y448" s="431"/>
      <c r="Z448" s="431"/>
      <c r="AA448" s="375"/>
      <c r="AB448" s="375"/>
      <c r="AC448" s="401"/>
      <c r="AD448" s="360"/>
      <c r="AE448" s="360"/>
      <c r="AF448" s="360"/>
      <c r="AG448" s="360"/>
      <c r="AH448" s="360"/>
      <c r="AI448" s="360"/>
      <c r="AJ448" s="360"/>
      <c r="AK448" s="360"/>
    </row>
    <row r="449" spans="1:37" hidden="1" x14ac:dyDescent="0.25">
      <c r="A449" s="389"/>
      <c r="B449" s="372"/>
      <c r="C449" s="372"/>
      <c r="D449" s="372"/>
      <c r="E449" s="379"/>
      <c r="F449" s="380"/>
      <c r="G449" s="381"/>
      <c r="H449" s="421"/>
      <c r="I449" s="375"/>
      <c r="J449" s="375"/>
      <c r="K449" s="375"/>
      <c r="L449" s="375"/>
      <c r="M449" s="375"/>
      <c r="N449" s="431"/>
      <c r="O449" s="431"/>
      <c r="P449" s="431"/>
      <c r="Q449" s="431"/>
      <c r="R449" s="431"/>
      <c r="S449" s="431"/>
      <c r="T449" s="431"/>
      <c r="U449" s="431"/>
      <c r="V449" s="431"/>
      <c r="W449" s="431"/>
      <c r="X449" s="431"/>
      <c r="Y449" s="431"/>
      <c r="Z449" s="431"/>
      <c r="AA449" s="375"/>
      <c r="AB449" s="375"/>
      <c r="AC449" s="401"/>
      <c r="AD449" s="360"/>
      <c r="AE449" s="360"/>
      <c r="AF449" s="360"/>
      <c r="AG449" s="360"/>
      <c r="AH449" s="360"/>
      <c r="AI449" s="360"/>
      <c r="AJ449" s="360"/>
      <c r="AK449" s="360"/>
    </row>
    <row r="450" spans="1:37" hidden="1" x14ac:dyDescent="0.25">
      <c r="A450" s="389"/>
      <c r="B450" s="372"/>
      <c r="C450" s="372"/>
      <c r="D450" s="372"/>
      <c r="E450" s="379"/>
      <c r="F450" s="380"/>
      <c r="G450" s="381"/>
      <c r="H450" s="421"/>
      <c r="I450" s="375"/>
      <c r="J450" s="375"/>
      <c r="K450" s="375"/>
      <c r="L450" s="375"/>
      <c r="M450" s="375"/>
      <c r="N450" s="431"/>
      <c r="O450" s="431"/>
      <c r="P450" s="431"/>
      <c r="Q450" s="431"/>
      <c r="R450" s="431"/>
      <c r="S450" s="431"/>
      <c r="T450" s="431"/>
      <c r="U450" s="431"/>
      <c r="V450" s="431"/>
      <c r="W450" s="431"/>
      <c r="X450" s="431"/>
      <c r="Y450" s="431"/>
      <c r="Z450" s="431"/>
      <c r="AA450" s="375"/>
      <c r="AB450" s="375"/>
      <c r="AC450" s="401"/>
      <c r="AD450" s="360"/>
      <c r="AE450" s="360"/>
      <c r="AF450" s="360"/>
      <c r="AG450" s="360"/>
      <c r="AH450" s="360"/>
      <c r="AI450" s="360"/>
      <c r="AJ450" s="360"/>
      <c r="AK450" s="360"/>
    </row>
    <row r="451" spans="1:37" hidden="1" x14ac:dyDescent="0.25">
      <c r="A451" s="389"/>
      <c r="B451" s="372"/>
      <c r="C451" s="372"/>
      <c r="D451" s="372"/>
      <c r="E451" s="379"/>
      <c r="F451" s="380"/>
      <c r="G451" s="381"/>
      <c r="H451" s="421"/>
      <c r="I451" s="375"/>
      <c r="J451" s="375"/>
      <c r="K451" s="375"/>
      <c r="L451" s="375"/>
      <c r="M451" s="375"/>
      <c r="N451" s="431"/>
      <c r="O451" s="431"/>
      <c r="P451" s="431"/>
      <c r="Q451" s="431"/>
      <c r="R451" s="431"/>
      <c r="S451" s="431"/>
      <c r="T451" s="431"/>
      <c r="U451" s="431"/>
      <c r="V451" s="431"/>
      <c r="W451" s="431"/>
      <c r="X451" s="431"/>
      <c r="Y451" s="431"/>
      <c r="Z451" s="431"/>
      <c r="AA451" s="375"/>
      <c r="AB451" s="375"/>
      <c r="AC451" s="401"/>
      <c r="AD451" s="360"/>
      <c r="AE451" s="360"/>
      <c r="AF451" s="360"/>
      <c r="AG451" s="360"/>
      <c r="AH451" s="360"/>
      <c r="AI451" s="360"/>
      <c r="AJ451" s="360"/>
      <c r="AK451" s="360"/>
    </row>
    <row r="452" spans="1:37" hidden="1" x14ac:dyDescent="0.25">
      <c r="A452" s="389"/>
      <c r="B452" s="372"/>
      <c r="C452" s="372"/>
      <c r="D452" s="372"/>
      <c r="E452" s="379"/>
      <c r="F452" s="380"/>
      <c r="G452" s="381"/>
      <c r="H452" s="421"/>
      <c r="I452" s="375"/>
      <c r="J452" s="375"/>
      <c r="K452" s="375"/>
      <c r="L452" s="375"/>
      <c r="M452" s="375"/>
      <c r="N452" s="431"/>
      <c r="O452" s="431"/>
      <c r="P452" s="431"/>
      <c r="Q452" s="431"/>
      <c r="R452" s="431"/>
      <c r="S452" s="431"/>
      <c r="T452" s="431"/>
      <c r="U452" s="431"/>
      <c r="V452" s="431"/>
      <c r="W452" s="431"/>
      <c r="X452" s="431"/>
      <c r="Y452" s="431"/>
      <c r="Z452" s="431"/>
      <c r="AA452" s="375"/>
      <c r="AB452" s="375"/>
      <c r="AC452" s="401"/>
      <c r="AD452" s="360"/>
      <c r="AE452" s="360"/>
      <c r="AF452" s="360"/>
      <c r="AG452" s="360"/>
      <c r="AH452" s="360"/>
      <c r="AI452" s="360"/>
      <c r="AJ452" s="360"/>
      <c r="AK452" s="360"/>
    </row>
    <row r="453" spans="1:37" hidden="1" x14ac:dyDescent="0.25">
      <c r="A453" s="389"/>
      <c r="B453" s="372"/>
      <c r="C453" s="372"/>
      <c r="D453" s="372"/>
      <c r="E453" s="382"/>
      <c r="F453" s="383"/>
      <c r="G453" s="384"/>
      <c r="H453" s="421"/>
      <c r="I453" s="375"/>
      <c r="J453" s="375"/>
      <c r="K453" s="375"/>
      <c r="L453" s="375"/>
      <c r="M453" s="375"/>
      <c r="N453" s="431"/>
      <c r="O453" s="431"/>
      <c r="P453" s="431"/>
      <c r="Q453" s="431"/>
      <c r="R453" s="431"/>
      <c r="S453" s="431"/>
      <c r="T453" s="431"/>
      <c r="U453" s="431"/>
      <c r="V453" s="431"/>
      <c r="W453" s="431"/>
      <c r="X453" s="431"/>
      <c r="Y453" s="431"/>
      <c r="Z453" s="431"/>
      <c r="AA453" s="375"/>
      <c r="AB453" s="375"/>
      <c r="AC453" s="401"/>
      <c r="AD453" s="360"/>
      <c r="AE453" s="360"/>
      <c r="AF453" s="360"/>
      <c r="AG453" s="360"/>
      <c r="AH453" s="360"/>
      <c r="AI453" s="360"/>
      <c r="AJ453" s="360"/>
      <c r="AK453" s="360"/>
    </row>
    <row r="454" spans="1:37" hidden="1" x14ac:dyDescent="0.25">
      <c r="A454" s="389"/>
      <c r="B454" s="372"/>
      <c r="C454" s="372"/>
      <c r="D454" s="372"/>
      <c r="E454" s="382"/>
      <c r="F454" s="383"/>
      <c r="G454" s="384"/>
      <c r="H454" s="421"/>
      <c r="I454" s="375"/>
      <c r="J454" s="375"/>
      <c r="K454" s="375"/>
      <c r="L454" s="375"/>
      <c r="M454" s="375"/>
      <c r="N454" s="431"/>
      <c r="O454" s="431"/>
      <c r="P454" s="431"/>
      <c r="Q454" s="431"/>
      <c r="R454" s="431"/>
      <c r="S454" s="431"/>
      <c r="T454" s="431"/>
      <c r="U454" s="431"/>
      <c r="V454" s="431"/>
      <c r="W454" s="431"/>
      <c r="X454" s="431"/>
      <c r="Y454" s="431"/>
      <c r="Z454" s="431"/>
      <c r="AA454" s="375"/>
      <c r="AB454" s="375"/>
      <c r="AC454" s="401"/>
      <c r="AD454" s="360"/>
      <c r="AE454" s="360"/>
      <c r="AF454" s="360"/>
      <c r="AG454" s="360"/>
      <c r="AH454" s="360"/>
      <c r="AI454" s="360"/>
      <c r="AJ454" s="360"/>
      <c r="AK454" s="360"/>
    </row>
    <row r="455" spans="1:37" hidden="1" x14ac:dyDescent="0.25">
      <c r="A455" s="389"/>
      <c r="B455" s="372"/>
      <c r="C455" s="372"/>
      <c r="D455" s="372"/>
      <c r="E455" s="382"/>
      <c r="F455" s="383"/>
      <c r="G455" s="384"/>
      <c r="H455" s="421"/>
      <c r="I455" s="375"/>
      <c r="J455" s="375"/>
      <c r="K455" s="375"/>
      <c r="L455" s="375"/>
      <c r="M455" s="375"/>
      <c r="N455" s="431"/>
      <c r="O455" s="431"/>
      <c r="P455" s="431"/>
      <c r="Q455" s="431"/>
      <c r="R455" s="431"/>
      <c r="S455" s="431"/>
      <c r="T455" s="431"/>
      <c r="U455" s="431"/>
      <c r="V455" s="431"/>
      <c r="W455" s="431"/>
      <c r="X455" s="431"/>
      <c r="Y455" s="431"/>
      <c r="Z455" s="431"/>
      <c r="AA455" s="375"/>
      <c r="AB455" s="375"/>
      <c r="AC455" s="401"/>
      <c r="AD455" s="360"/>
      <c r="AE455" s="360"/>
      <c r="AF455" s="360"/>
      <c r="AG455" s="360"/>
      <c r="AH455" s="360"/>
      <c r="AI455" s="360"/>
      <c r="AJ455" s="360"/>
      <c r="AK455" s="360"/>
    </row>
    <row r="456" spans="1:37" hidden="1" x14ac:dyDescent="0.25">
      <c r="A456" s="389"/>
      <c r="B456" s="372"/>
      <c r="C456" s="372"/>
      <c r="D456" s="372"/>
      <c r="E456" s="382"/>
      <c r="F456" s="383"/>
      <c r="G456" s="384"/>
      <c r="H456" s="421"/>
      <c r="I456" s="375"/>
      <c r="J456" s="375"/>
      <c r="K456" s="375"/>
      <c r="L456" s="375"/>
      <c r="M456" s="375"/>
      <c r="N456" s="431"/>
      <c r="O456" s="431"/>
      <c r="P456" s="431"/>
      <c r="Q456" s="431"/>
      <c r="R456" s="431"/>
      <c r="S456" s="431"/>
      <c r="T456" s="431"/>
      <c r="U456" s="431"/>
      <c r="V456" s="431"/>
      <c r="W456" s="431"/>
      <c r="X456" s="431"/>
      <c r="Y456" s="431"/>
      <c r="Z456" s="431"/>
      <c r="AA456" s="375"/>
      <c r="AB456" s="375"/>
      <c r="AC456" s="401"/>
      <c r="AD456" s="360"/>
      <c r="AE456" s="360"/>
      <c r="AF456" s="360"/>
      <c r="AG456" s="360"/>
      <c r="AH456" s="360"/>
      <c r="AI456" s="360"/>
      <c r="AJ456" s="360"/>
      <c r="AK456" s="360"/>
    </row>
    <row r="457" spans="1:37" hidden="1" x14ac:dyDescent="0.25">
      <c r="A457" s="389"/>
      <c r="B457" s="372"/>
      <c r="C457" s="372"/>
      <c r="D457" s="372"/>
      <c r="E457" s="382"/>
      <c r="F457" s="383"/>
      <c r="G457" s="384"/>
      <c r="H457" s="421"/>
      <c r="I457" s="375"/>
      <c r="J457" s="375"/>
      <c r="K457" s="375"/>
      <c r="L457" s="375"/>
      <c r="M457" s="375"/>
      <c r="N457" s="431"/>
      <c r="O457" s="431"/>
      <c r="P457" s="431"/>
      <c r="Q457" s="431"/>
      <c r="R457" s="431"/>
      <c r="S457" s="431"/>
      <c r="T457" s="431"/>
      <c r="U457" s="431"/>
      <c r="V457" s="431"/>
      <c r="W457" s="431"/>
      <c r="X457" s="431"/>
      <c r="Y457" s="431"/>
      <c r="Z457" s="431"/>
      <c r="AA457" s="375"/>
      <c r="AB457" s="375"/>
      <c r="AC457" s="401"/>
      <c r="AD457" s="360"/>
      <c r="AE457" s="360"/>
      <c r="AF457" s="360"/>
      <c r="AG457" s="360"/>
      <c r="AH457" s="360"/>
      <c r="AI457" s="360"/>
      <c r="AJ457" s="360"/>
      <c r="AK457" s="360"/>
    </row>
    <row r="458" spans="1:37" s="386" customFormat="1" hidden="1" x14ac:dyDescent="0.25">
      <c r="A458" s="409"/>
      <c r="B458" s="406"/>
      <c r="C458" s="406"/>
      <c r="D458" s="406"/>
      <c r="E458" s="407">
        <v>2014</v>
      </c>
      <c r="F458" s="407">
        <v>2015</v>
      </c>
      <c r="G458" s="407">
        <v>2016</v>
      </c>
      <c r="H458" s="407"/>
      <c r="I458" s="407"/>
      <c r="J458" s="407"/>
      <c r="K458" s="407"/>
      <c r="L458" s="407"/>
      <c r="M458" s="407"/>
      <c r="N458" s="407"/>
      <c r="O458" s="407"/>
      <c r="P458" s="407"/>
      <c r="Q458" s="407"/>
      <c r="R458" s="407"/>
      <c r="S458" s="407"/>
      <c r="T458" s="407"/>
      <c r="U458" s="407"/>
      <c r="V458" s="407"/>
      <c r="W458" s="407"/>
      <c r="X458" s="407"/>
      <c r="Y458" s="407"/>
      <c r="Z458" s="407"/>
      <c r="AA458" s="407"/>
      <c r="AB458" s="407"/>
      <c r="AC458" s="413"/>
    </row>
    <row r="459" spans="1:37" x14ac:dyDescent="0.25">
      <c r="A459" s="422" t="s">
        <v>879</v>
      </c>
      <c r="B459" s="436" t="s">
        <v>881</v>
      </c>
      <c r="C459" s="436" t="s">
        <v>473</v>
      </c>
      <c r="D459" s="436" t="s">
        <v>904</v>
      </c>
      <c r="E459" s="420">
        <v>30.769568040539401</v>
      </c>
      <c r="F459" s="420">
        <v>30.744264405397601</v>
      </c>
      <c r="G459" s="420">
        <v>30.716420940782999</v>
      </c>
      <c r="H459" s="421">
        <v>2015</v>
      </c>
      <c r="I459" s="421">
        <v>30.744264405397601</v>
      </c>
      <c r="J459" s="421">
        <v>2015</v>
      </c>
      <c r="K459" s="411">
        <v>31.008400000000002</v>
      </c>
      <c r="L459" s="421">
        <f>Table14[[#This Row],[Data reference value]]+Table14[[#This Row],[Data reference value]]*Table14[[#This Row],[Ambitious target improvement rate 2030]]</f>
        <v>32.896362913775434</v>
      </c>
      <c r="M459" s="421">
        <v>7.0000000000000007E-2</v>
      </c>
      <c r="N459" s="421">
        <f>(Table14[[#This Row],[Ambitious target 2030]]-Table14[[#This Row],[Model reference value]])*0.5+Table14[[#This Row],[Model reference value]]</f>
        <v>31.952381456887718</v>
      </c>
      <c r="O459" s="421">
        <f>(Table14[[#This Row],[Ambitious target 2030]]-Table14[[#This Row],[Model reference value]])*0.25+Table14[[#This Row],[Model reference value]]</f>
        <v>31.480390728443858</v>
      </c>
      <c r="P459" s="421">
        <f>Table14[[#This Row],[Model reference value]]</f>
        <v>31.008400000000002</v>
      </c>
      <c r="Q459" s="421">
        <f>Table14[[#This Row],[Data reference value]]+Table14[[#This Row],[Data reference value]]*Table14[[#This Row],[Ambitious target improvement rate 2050]]</f>
        <v>35.355904066207245</v>
      </c>
      <c r="R459" s="421">
        <v>0.15</v>
      </c>
      <c r="S459" s="421">
        <f>(Table14[[#This Row],[Ambitious target 2050]]-Table14[[#This Row],[Model reference value]])*0.5+Table14[[#This Row],[Model reference value]]</f>
        <v>33.18215203310362</v>
      </c>
      <c r="T459" s="421">
        <f>(Table14[[#This Row],[Ambitious target 2050]]-Table14[[#This Row],[Model reference value]])*0.25+Table14[[#This Row],[Model reference value]]</f>
        <v>32.095276016551814</v>
      </c>
      <c r="U459" s="421">
        <f>Table14[[#This Row],[Worst value 2030]]</f>
        <v>31.008400000000002</v>
      </c>
      <c r="V459" s="421">
        <f>Table14[[#This Row],[Data reference value]]+Table14[[#This Row],[Data reference value]]*Table14[[#This Row],[Ambitious target improvement rate 2100]]</f>
        <v>39.967543727016881</v>
      </c>
      <c r="W459" s="421">
        <v>0.3</v>
      </c>
      <c r="X459" s="421">
        <f>(Table14[[#This Row],[Ambitious target 2100]]-Table14[[#This Row],[Model reference value]])*0.5+Table14[[#This Row],[Model reference value]]</f>
        <v>35.487971863508442</v>
      </c>
      <c r="Y459" s="421">
        <f>(Table14[[#This Row],[Ambitious target 2100]]-Table14[[#This Row],[Model reference value]])*0.25+Table14[[#This Row],[Model reference value]]</f>
        <v>33.248185931754222</v>
      </c>
      <c r="Z459" s="421">
        <f>Table14[[#This Row],[Worst value 2030]]</f>
        <v>31.008400000000002</v>
      </c>
      <c r="AA459" s="421" t="s">
        <v>1140</v>
      </c>
      <c r="AB459" s="421"/>
      <c r="AC459" s="419" t="s">
        <v>687</v>
      </c>
      <c r="AD459" s="371" t="s">
        <v>936</v>
      </c>
      <c r="AE459" s="360"/>
      <c r="AF459" s="360"/>
      <c r="AG459" s="360"/>
      <c r="AH459" s="360"/>
      <c r="AI459" s="360"/>
      <c r="AJ459" s="360"/>
      <c r="AK459" s="360"/>
    </row>
    <row r="460" spans="1:37" hidden="1" x14ac:dyDescent="0.25">
      <c r="A460" s="390"/>
      <c r="B460" s="369"/>
      <c r="C460" s="369"/>
      <c r="D460" s="369" t="s">
        <v>668</v>
      </c>
      <c r="E460" s="379">
        <v>74.110764433268599</v>
      </c>
      <c r="F460" s="380">
        <v>74.104579781831006</v>
      </c>
      <c r="G460" s="381">
        <v>74.098395130393499</v>
      </c>
      <c r="H460" s="421"/>
      <c r="I460" s="375"/>
      <c r="J460" s="375"/>
      <c r="K460" s="375"/>
      <c r="L460" s="375"/>
      <c r="M460" s="375"/>
      <c r="N460" s="375"/>
      <c r="O460" s="375"/>
      <c r="P460" s="375"/>
      <c r="Q460" s="375"/>
      <c r="R460" s="375"/>
      <c r="S460" s="375"/>
      <c r="T460" s="375"/>
      <c r="U460" s="375"/>
      <c r="V460" s="375"/>
      <c r="W460" s="375"/>
      <c r="X460" s="375"/>
      <c r="Y460" s="375"/>
      <c r="Z460" s="375"/>
      <c r="AA460" s="375"/>
      <c r="AB460" s="375"/>
      <c r="AC460" s="396"/>
      <c r="AD460" s="360"/>
      <c r="AE460" s="360"/>
      <c r="AF460" s="360"/>
      <c r="AG460" s="360"/>
      <c r="AH460" s="360"/>
      <c r="AI460" s="360"/>
      <c r="AJ460" s="360"/>
      <c r="AK460" s="360"/>
    </row>
    <row r="461" spans="1:37" hidden="1" x14ac:dyDescent="0.25">
      <c r="A461" s="390"/>
      <c r="B461" s="369"/>
      <c r="C461" s="369"/>
      <c r="D461" s="369" t="s">
        <v>669</v>
      </c>
      <c r="E461" s="379">
        <v>73.111981309026305</v>
      </c>
      <c r="F461" s="380">
        <v>73.107169885821506</v>
      </c>
      <c r="G461" s="381">
        <v>73.107169885821506</v>
      </c>
      <c r="H461" s="421"/>
      <c r="I461" s="375"/>
      <c r="J461" s="375"/>
      <c r="K461" s="375"/>
      <c r="L461" s="375"/>
      <c r="M461" s="375"/>
      <c r="N461" s="375"/>
      <c r="O461" s="375"/>
      <c r="P461" s="375"/>
      <c r="Q461" s="375"/>
      <c r="R461" s="375"/>
      <c r="S461" s="375"/>
      <c r="T461" s="375"/>
      <c r="U461" s="375"/>
      <c r="V461" s="375"/>
      <c r="W461" s="375"/>
      <c r="X461" s="375"/>
      <c r="Y461" s="375"/>
      <c r="Z461" s="375"/>
      <c r="AA461" s="375"/>
      <c r="AB461" s="375"/>
      <c r="AC461" s="396"/>
      <c r="AD461" s="360"/>
      <c r="AE461" s="360"/>
      <c r="AF461" s="360"/>
      <c r="AG461" s="360"/>
      <c r="AH461" s="360"/>
      <c r="AI461" s="360"/>
      <c r="AJ461" s="360"/>
      <c r="AK461" s="360"/>
    </row>
    <row r="462" spans="1:37" hidden="1" x14ac:dyDescent="0.25">
      <c r="A462" s="390"/>
      <c r="B462" s="369"/>
      <c r="C462" s="369"/>
      <c r="D462" s="369" t="s">
        <v>670</v>
      </c>
      <c r="E462" s="379">
        <v>72.015374896486705</v>
      </c>
      <c r="F462" s="380">
        <v>72.275624181636999</v>
      </c>
      <c r="G462" s="381">
        <v>72.484536714605994</v>
      </c>
      <c r="H462" s="421"/>
      <c r="I462" s="375"/>
      <c r="J462" s="375"/>
      <c r="K462" s="375"/>
      <c r="L462" s="375"/>
      <c r="M462" s="375"/>
      <c r="N462" s="375"/>
      <c r="O462" s="375"/>
      <c r="P462" s="375"/>
      <c r="Q462" s="375"/>
      <c r="R462" s="375"/>
      <c r="S462" s="375"/>
      <c r="T462" s="375"/>
      <c r="U462" s="375"/>
      <c r="V462" s="375"/>
      <c r="W462" s="375"/>
      <c r="X462" s="375"/>
      <c r="Y462" s="375"/>
      <c r="Z462" s="375"/>
      <c r="AA462" s="375"/>
      <c r="AB462" s="375"/>
      <c r="AC462" s="396"/>
      <c r="AD462" s="360"/>
      <c r="AE462" s="360"/>
      <c r="AF462" s="360"/>
      <c r="AG462" s="360"/>
      <c r="AH462" s="360"/>
      <c r="AI462" s="360"/>
      <c r="AJ462" s="360"/>
      <c r="AK462" s="360"/>
    </row>
    <row r="463" spans="1:37" hidden="1" x14ac:dyDescent="0.25">
      <c r="A463" s="390"/>
      <c r="B463" s="369"/>
      <c r="C463" s="369"/>
      <c r="D463" s="369" t="s">
        <v>671</v>
      </c>
      <c r="E463" s="379">
        <v>68.922933392256496</v>
      </c>
      <c r="F463" s="380">
        <v>68.922933392256496</v>
      </c>
      <c r="G463" s="381">
        <v>68.922933392256496</v>
      </c>
      <c r="H463" s="421"/>
      <c r="I463" s="375"/>
      <c r="J463" s="375"/>
      <c r="K463" s="375"/>
      <c r="L463" s="375"/>
      <c r="M463" s="375"/>
      <c r="N463" s="375"/>
      <c r="O463" s="375"/>
      <c r="P463" s="375"/>
      <c r="Q463" s="375"/>
      <c r="R463" s="375"/>
      <c r="S463" s="375"/>
      <c r="T463" s="375"/>
      <c r="U463" s="375"/>
      <c r="V463" s="375"/>
      <c r="W463" s="375"/>
      <c r="X463" s="375"/>
      <c r="Y463" s="375"/>
      <c r="Z463" s="375"/>
      <c r="AA463" s="375"/>
      <c r="AB463" s="375"/>
      <c r="AC463" s="396"/>
      <c r="AD463" s="360"/>
      <c r="AE463" s="360"/>
      <c r="AF463" s="360"/>
      <c r="AG463" s="360"/>
      <c r="AH463" s="360"/>
      <c r="AI463" s="360"/>
      <c r="AJ463" s="360"/>
      <c r="AK463" s="360"/>
    </row>
    <row r="464" spans="1:37" hidden="1" x14ac:dyDescent="0.25">
      <c r="A464" s="390"/>
      <c r="B464" s="369"/>
      <c r="C464" s="369"/>
      <c r="D464" s="369" t="s">
        <v>672</v>
      </c>
      <c r="E464" s="379">
        <v>67.511187889971097</v>
      </c>
      <c r="F464" s="380">
        <v>67.554405722112307</v>
      </c>
      <c r="G464" s="381">
        <v>67.597623554253502</v>
      </c>
      <c r="H464" s="421"/>
      <c r="I464" s="375"/>
      <c r="J464" s="375"/>
      <c r="K464" s="375"/>
      <c r="L464" s="375"/>
      <c r="M464" s="375"/>
      <c r="N464" s="375"/>
      <c r="O464" s="375"/>
      <c r="P464" s="375"/>
      <c r="Q464" s="375"/>
      <c r="R464" s="375"/>
      <c r="S464" s="375"/>
      <c r="T464" s="375"/>
      <c r="U464" s="375"/>
      <c r="V464" s="375"/>
      <c r="W464" s="375"/>
      <c r="X464" s="375"/>
      <c r="Y464" s="375"/>
      <c r="Z464" s="375"/>
      <c r="AA464" s="375"/>
      <c r="AB464" s="375"/>
      <c r="AC464" s="396"/>
      <c r="AD464" s="360"/>
      <c r="AE464" s="360"/>
      <c r="AF464" s="360"/>
      <c r="AG464" s="360"/>
      <c r="AH464" s="360"/>
      <c r="AI464" s="360"/>
      <c r="AJ464" s="360"/>
      <c r="AK464" s="360"/>
    </row>
    <row r="465" spans="1:37" hidden="1" x14ac:dyDescent="0.25">
      <c r="A465" s="390"/>
      <c r="B465" s="369"/>
      <c r="C465" s="369"/>
      <c r="D465" s="369" t="s">
        <v>673</v>
      </c>
      <c r="E465" s="382">
        <v>7.2730927244842994E-2</v>
      </c>
      <c r="F465" s="383">
        <v>7.3333668190265697E-2</v>
      </c>
      <c r="G465" s="384">
        <v>7.3936409135688497E-2</v>
      </c>
      <c r="H465" s="421"/>
      <c r="I465" s="375"/>
      <c r="J465" s="375"/>
      <c r="K465" s="375"/>
      <c r="L465" s="375"/>
      <c r="M465" s="375"/>
      <c r="N465" s="375"/>
      <c r="O465" s="375"/>
      <c r="P465" s="375"/>
      <c r="Q465" s="375"/>
      <c r="R465" s="375"/>
      <c r="S465" s="375"/>
      <c r="T465" s="375"/>
      <c r="U465" s="375"/>
      <c r="V465" s="375"/>
      <c r="W465" s="375"/>
      <c r="X465" s="375"/>
      <c r="Y465" s="375"/>
      <c r="Z465" s="375"/>
      <c r="AA465" s="375"/>
      <c r="AB465" s="375"/>
      <c r="AC465" s="396"/>
      <c r="AD465" s="360"/>
      <c r="AE465" s="360"/>
      <c r="AF465" s="360"/>
      <c r="AG465" s="360"/>
      <c r="AH465" s="360"/>
      <c r="AI465" s="360"/>
      <c r="AJ465" s="360"/>
      <c r="AK465" s="360"/>
    </row>
    <row r="466" spans="1:37" hidden="1" x14ac:dyDescent="0.25">
      <c r="A466" s="390"/>
      <c r="B466" s="369"/>
      <c r="C466" s="369"/>
      <c r="D466" s="369" t="s">
        <v>674</v>
      </c>
      <c r="E466" s="382">
        <v>0.123327687918433</v>
      </c>
      <c r="F466" s="383">
        <v>0.123327687918433</v>
      </c>
      <c r="G466" s="384">
        <v>0.123327687918433</v>
      </c>
      <c r="H466" s="421"/>
      <c r="I466" s="375"/>
      <c r="J466" s="375"/>
      <c r="K466" s="375"/>
      <c r="L466" s="375"/>
      <c r="M466" s="375"/>
      <c r="N466" s="375"/>
      <c r="O466" s="375"/>
      <c r="P466" s="375"/>
      <c r="Q466" s="375"/>
      <c r="R466" s="375"/>
      <c r="S466" s="375"/>
      <c r="T466" s="375"/>
      <c r="U466" s="375"/>
      <c r="V466" s="375"/>
      <c r="W466" s="375"/>
      <c r="X466" s="375"/>
      <c r="Y466" s="375"/>
      <c r="Z466" s="375"/>
      <c r="AA466" s="375"/>
      <c r="AB466" s="375"/>
      <c r="AC466" s="396"/>
      <c r="AD466" s="360"/>
      <c r="AE466" s="360"/>
      <c r="AF466" s="360"/>
      <c r="AG466" s="360"/>
      <c r="AH466" s="360"/>
      <c r="AI466" s="360"/>
      <c r="AJ466" s="360"/>
      <c r="AK466" s="360"/>
    </row>
    <row r="467" spans="1:37" hidden="1" x14ac:dyDescent="0.25">
      <c r="A467" s="390"/>
      <c r="B467" s="369"/>
      <c r="C467" s="369"/>
      <c r="D467" s="369" t="s">
        <v>675</v>
      </c>
      <c r="E467" s="382">
        <v>0.81805739686702195</v>
      </c>
      <c r="F467" s="383">
        <v>0.82124833105208805</v>
      </c>
      <c r="G467" s="384">
        <v>0.82443926523715405</v>
      </c>
      <c r="H467" s="421"/>
      <c r="I467" s="375"/>
      <c r="J467" s="375"/>
      <c r="K467" s="375"/>
      <c r="L467" s="375"/>
      <c r="M467" s="375"/>
      <c r="N467" s="375"/>
      <c r="O467" s="375"/>
      <c r="P467" s="375"/>
      <c r="Q467" s="375"/>
      <c r="R467" s="375"/>
      <c r="S467" s="375"/>
      <c r="T467" s="375"/>
      <c r="U467" s="375"/>
      <c r="V467" s="375"/>
      <c r="W467" s="375"/>
      <c r="X467" s="375"/>
      <c r="Y467" s="375"/>
      <c r="Z467" s="375"/>
      <c r="AA467" s="375"/>
      <c r="AB467" s="375"/>
      <c r="AC467" s="396"/>
      <c r="AD467" s="360"/>
      <c r="AE467" s="360"/>
      <c r="AF467" s="360"/>
      <c r="AG467" s="360"/>
      <c r="AH467" s="360"/>
      <c r="AI467" s="360"/>
      <c r="AJ467" s="360"/>
      <c r="AK467" s="360"/>
    </row>
    <row r="468" spans="1:37" hidden="1" x14ac:dyDescent="0.25">
      <c r="A468" s="390"/>
      <c r="B468" s="369"/>
      <c r="C468" s="369"/>
      <c r="D468" s="369" t="s">
        <v>676</v>
      </c>
      <c r="E468" s="382">
        <v>0.91134445757800597</v>
      </c>
      <c r="F468" s="383">
        <v>0.90155522223099405</v>
      </c>
      <c r="G468" s="384">
        <v>0.89176598688398201</v>
      </c>
      <c r="H468" s="421"/>
      <c r="I468" s="375"/>
      <c r="J468" s="375"/>
      <c r="K468" s="375"/>
      <c r="L468" s="375"/>
      <c r="M468" s="375"/>
      <c r="N468" s="375"/>
      <c r="O468" s="375"/>
      <c r="P468" s="375"/>
      <c r="Q468" s="375"/>
      <c r="R468" s="375"/>
      <c r="S468" s="375"/>
      <c r="T468" s="375"/>
      <c r="U468" s="375"/>
      <c r="V468" s="375"/>
      <c r="W468" s="375"/>
      <c r="X468" s="375"/>
      <c r="Y468" s="375"/>
      <c r="Z468" s="375"/>
      <c r="AA468" s="375"/>
      <c r="AB468" s="375"/>
      <c r="AC468" s="396"/>
      <c r="AD468" s="360"/>
      <c r="AE468" s="360"/>
      <c r="AF468" s="360"/>
      <c r="AG468" s="360"/>
      <c r="AH468" s="360"/>
      <c r="AI468" s="360"/>
      <c r="AJ468" s="360"/>
      <c r="AK468" s="360"/>
    </row>
    <row r="469" spans="1:37" hidden="1" x14ac:dyDescent="0.25">
      <c r="A469" s="390"/>
      <c r="B469" s="369"/>
      <c r="C469" s="369"/>
      <c r="D469" s="369" t="s">
        <v>677</v>
      </c>
      <c r="E469" s="382">
        <v>1.22569174352706</v>
      </c>
      <c r="F469" s="383">
        <v>1.22569174352706</v>
      </c>
      <c r="G469" s="384">
        <v>1.22569174352706</v>
      </c>
      <c r="H469" s="421"/>
      <c r="I469" s="375"/>
      <c r="J469" s="375"/>
      <c r="K469" s="375"/>
      <c r="L469" s="375"/>
      <c r="M469" s="375"/>
      <c r="N469" s="375"/>
      <c r="O469" s="375"/>
      <c r="P469" s="375"/>
      <c r="Q469" s="375"/>
      <c r="R469" s="375"/>
      <c r="S469" s="375"/>
      <c r="T469" s="375"/>
      <c r="U469" s="375"/>
      <c r="V469" s="375"/>
      <c r="W469" s="375"/>
      <c r="X469" s="375"/>
      <c r="Y469" s="375"/>
      <c r="Z469" s="375"/>
      <c r="AA469" s="375"/>
      <c r="AB469" s="375"/>
      <c r="AC469" s="396"/>
      <c r="AD469" s="360"/>
      <c r="AE469" s="360"/>
      <c r="AF469" s="360"/>
      <c r="AG469" s="360"/>
      <c r="AH469" s="360"/>
      <c r="AI469" s="360"/>
      <c r="AJ469" s="360"/>
      <c r="AK469" s="360"/>
    </row>
    <row r="470" spans="1:37" s="387" customFormat="1" hidden="1" x14ac:dyDescent="0.25">
      <c r="A470" s="410"/>
      <c r="B470" s="415"/>
      <c r="C470" s="415"/>
      <c r="D470" s="415"/>
      <c r="E470" s="417">
        <v>2005</v>
      </c>
      <c r="F470" s="417">
        <v>2010</v>
      </c>
      <c r="G470" s="417">
        <v>2020</v>
      </c>
      <c r="H470" s="417"/>
      <c r="I470" s="417"/>
      <c r="J470" s="417"/>
      <c r="K470" s="417"/>
      <c r="L470" s="417"/>
      <c r="M470" s="417"/>
      <c r="N470" s="417"/>
      <c r="O470" s="417"/>
      <c r="P470" s="417"/>
      <c r="Q470" s="417"/>
      <c r="R470" s="417"/>
      <c r="S470" s="417"/>
      <c r="T470" s="417"/>
      <c r="U470" s="417"/>
      <c r="V470" s="417"/>
      <c r="W470" s="417"/>
      <c r="X470" s="417"/>
      <c r="Y470" s="417"/>
      <c r="Z470" s="417"/>
      <c r="AA470" s="417"/>
      <c r="AB470" s="417"/>
      <c r="AC470" s="412"/>
    </row>
    <row r="471" spans="1:37" s="362" customFormat="1" x14ac:dyDescent="0.25">
      <c r="A471" s="418" t="s">
        <v>964</v>
      </c>
      <c r="B471" s="436" t="s">
        <v>28</v>
      </c>
      <c r="C471" s="437" t="s">
        <v>965</v>
      </c>
      <c r="D471" s="436" t="s">
        <v>904</v>
      </c>
      <c r="E471" s="420">
        <v>3725.0472</v>
      </c>
      <c r="F471" s="420">
        <v>3708.1455999999998</v>
      </c>
      <c r="G471" s="420">
        <v>3697.7395999999999</v>
      </c>
      <c r="H471" s="421">
        <v>2020</v>
      </c>
      <c r="I471" s="421">
        <v>3697.7395999999999</v>
      </c>
      <c r="J471" s="421">
        <v>2015</v>
      </c>
      <c r="K471" s="411">
        <v>4001.32</v>
      </c>
      <c r="L471" s="421">
        <f>Table14[[#This Row],[Data reference value]]+Table14[[#This Row],[Data reference value]]*Table14[[#This Row],[Ambitious target improvement rate 2030]]</f>
        <v>4067.5135599999999</v>
      </c>
      <c r="M471" s="421">
        <v>0.1</v>
      </c>
      <c r="N471" s="421">
        <f>(Table14[[#This Row],[Ambitious target 2030]]-Table14[[#This Row],[Model reference value]])*0.5+Table14[[#This Row],[Model reference value]]</f>
        <v>4034.41678</v>
      </c>
      <c r="O471" s="421">
        <f>(Table14[[#This Row],[Ambitious target 2030]]-Table14[[#This Row],[Model reference value]])*0.25+Table14[[#This Row],[Model reference value]]</f>
        <v>4017.8683900000001</v>
      </c>
      <c r="P471" s="421">
        <f>Table14[[#This Row],[Model reference value]]</f>
        <v>4001.32</v>
      </c>
      <c r="Q471" s="421">
        <f>Table14[[#This Row],[Data reference value]]+Table14[[#This Row],[Data reference value]]*Table14[[#This Row],[Ambitious target improvement rate 2050]]</f>
        <v>4437.2875199999999</v>
      </c>
      <c r="R471" s="421">
        <v>0.2</v>
      </c>
      <c r="S471" s="421">
        <f>(Table14[[#This Row],[Ambitious target 2050]]-Table14[[#This Row],[Model reference value]])*0.5+Table14[[#This Row],[Model reference value]]</f>
        <v>4219.3037599999998</v>
      </c>
      <c r="T471" s="421">
        <f>(Table14[[#This Row],[Ambitious target 2050]]-Table14[[#This Row],[Model reference value]])*0.25+Table14[[#This Row],[Model reference value]]</f>
        <v>4110.3118800000002</v>
      </c>
      <c r="U471" s="421">
        <f>Table14[[#This Row],[Worst value 2030]]</f>
        <v>4001.32</v>
      </c>
      <c r="V471" s="421">
        <f>Table14[[#This Row],[Data reference value]]+Table14[[#This Row],[Data reference value]]*Table14[[#This Row],[Ambitious target improvement rate 2100]]</f>
        <v>4807.0614800000003</v>
      </c>
      <c r="W471" s="421">
        <v>0.3</v>
      </c>
      <c r="X471" s="421">
        <f>(Table14[[#This Row],[Ambitious target 2100]]-Table14[[#This Row],[Model reference value]])*0.5+Table14[[#This Row],[Model reference value]]</f>
        <v>4404.19074</v>
      </c>
      <c r="Y471" s="421">
        <f>(Table14[[#This Row],[Ambitious target 2100]]-Table14[[#This Row],[Model reference value]])*0.25+Table14[[#This Row],[Model reference value]]</f>
        <v>4202.7553699999999</v>
      </c>
      <c r="Z471" s="421">
        <f>Table14[[#This Row],[Worst value 2030]]</f>
        <v>4001.32</v>
      </c>
      <c r="AA471" s="421" t="s">
        <v>1140</v>
      </c>
      <c r="AB471" s="421" t="s">
        <v>1124</v>
      </c>
      <c r="AC471" s="419" t="s">
        <v>979</v>
      </c>
    </row>
    <row r="472" spans="1:37" s="362" customFormat="1" ht="30" hidden="1" x14ac:dyDescent="0.25">
      <c r="A472" s="389"/>
      <c r="B472" s="372"/>
      <c r="C472" s="372"/>
      <c r="D472" s="372" t="s">
        <v>975</v>
      </c>
      <c r="E472" s="379">
        <v>1164.75264511718</v>
      </c>
      <c r="F472" s="380">
        <v>1163.8596947265601</v>
      </c>
      <c r="G472" s="381">
        <v>1169.8245865234301</v>
      </c>
      <c r="H472" s="421"/>
      <c r="I472" s="375"/>
      <c r="J472" s="375"/>
      <c r="K472" s="375"/>
      <c r="L472" s="375"/>
      <c r="M472" s="375"/>
      <c r="N472" s="375"/>
      <c r="O472" s="375"/>
      <c r="P472" s="375"/>
      <c r="Q472" s="375"/>
      <c r="R472" s="375"/>
      <c r="S472" s="375"/>
      <c r="T472" s="375"/>
      <c r="U472" s="375"/>
      <c r="V472" s="375"/>
      <c r="W472" s="375"/>
      <c r="X472" s="375"/>
      <c r="Y472" s="375"/>
      <c r="Z472" s="375"/>
      <c r="AA472" s="375"/>
      <c r="AB472" s="375"/>
      <c r="AC472" s="399"/>
    </row>
    <row r="473" spans="1:37" s="362" customFormat="1" hidden="1" x14ac:dyDescent="0.25">
      <c r="A473" s="389"/>
      <c r="B473" s="372"/>
      <c r="C473" s="372"/>
      <c r="D473" s="372" t="s">
        <v>972</v>
      </c>
      <c r="E473" s="379">
        <v>1096.09805351562</v>
      </c>
      <c r="F473" s="380">
        <v>1103.73515585937</v>
      </c>
      <c r="G473" s="381">
        <v>1132.18370820312</v>
      </c>
      <c r="H473" s="421"/>
      <c r="I473" s="375"/>
      <c r="J473" s="375"/>
      <c r="K473" s="375"/>
      <c r="L473" s="375"/>
      <c r="M473" s="375"/>
      <c r="N473" s="375"/>
      <c r="O473" s="375"/>
      <c r="P473" s="375"/>
      <c r="Q473" s="375"/>
      <c r="R473" s="375"/>
      <c r="S473" s="375"/>
      <c r="T473" s="375"/>
      <c r="U473" s="375"/>
      <c r="V473" s="375"/>
      <c r="W473" s="375"/>
      <c r="X473" s="375"/>
      <c r="Y473" s="375"/>
      <c r="Z473" s="375"/>
      <c r="AA473" s="375"/>
      <c r="AB473" s="375"/>
      <c r="AC473" s="399"/>
    </row>
    <row r="474" spans="1:37" s="362" customFormat="1" hidden="1" x14ac:dyDescent="0.25">
      <c r="A474" s="389"/>
      <c r="B474" s="372"/>
      <c r="C474" s="372"/>
      <c r="D474" s="372" t="s">
        <v>977</v>
      </c>
      <c r="E474" s="379">
        <v>741.06497343750004</v>
      </c>
      <c r="F474" s="380">
        <v>728.92406093750003</v>
      </c>
      <c r="G474" s="381">
        <v>711.25087656250003</v>
      </c>
      <c r="H474" s="421"/>
      <c r="I474" s="375"/>
      <c r="J474" s="375"/>
      <c r="K474" s="375"/>
      <c r="L474" s="375"/>
      <c r="M474" s="375"/>
      <c r="N474" s="375"/>
      <c r="O474" s="375"/>
      <c r="P474" s="375"/>
      <c r="Q474" s="375"/>
      <c r="R474" s="375"/>
      <c r="S474" s="375"/>
      <c r="T474" s="375"/>
      <c r="U474" s="375"/>
      <c r="V474" s="375"/>
      <c r="W474" s="375"/>
      <c r="X474" s="375"/>
      <c r="Y474" s="375"/>
      <c r="Z474" s="375"/>
      <c r="AA474" s="375"/>
      <c r="AB474" s="375"/>
      <c r="AC474" s="399"/>
    </row>
    <row r="475" spans="1:37" s="362" customFormat="1" hidden="1" x14ac:dyDescent="0.25">
      <c r="A475" s="389"/>
      <c r="B475" s="372"/>
      <c r="C475" s="372"/>
      <c r="D475" s="372"/>
      <c r="E475" s="379"/>
      <c r="F475" s="380"/>
      <c r="G475" s="381"/>
      <c r="H475" s="421"/>
      <c r="I475" s="375"/>
      <c r="J475" s="375"/>
      <c r="K475" s="375"/>
      <c r="L475" s="375"/>
      <c r="M475" s="375"/>
      <c r="N475" s="431"/>
      <c r="O475" s="431"/>
      <c r="P475" s="431"/>
      <c r="Q475" s="431"/>
      <c r="R475" s="431"/>
      <c r="S475" s="431"/>
      <c r="T475" s="431"/>
      <c r="U475" s="431"/>
      <c r="V475" s="431"/>
      <c r="W475" s="431"/>
      <c r="X475" s="431"/>
      <c r="Y475" s="431"/>
      <c r="Z475" s="431"/>
      <c r="AA475" s="375"/>
      <c r="AB475" s="375"/>
      <c r="AC475" s="399"/>
    </row>
    <row r="476" spans="1:37" s="362" customFormat="1" hidden="1" x14ac:dyDescent="0.25">
      <c r="A476" s="389"/>
      <c r="B476" s="372"/>
      <c r="C476" s="372"/>
      <c r="D476" s="372"/>
      <c r="E476" s="379"/>
      <c r="F476" s="380"/>
      <c r="G476" s="381"/>
      <c r="H476" s="421"/>
      <c r="I476" s="375"/>
      <c r="J476" s="375"/>
      <c r="K476" s="375"/>
      <c r="L476" s="375"/>
      <c r="M476" s="375"/>
      <c r="N476" s="431"/>
      <c r="O476" s="431"/>
      <c r="P476" s="431"/>
      <c r="Q476" s="431"/>
      <c r="R476" s="431"/>
      <c r="S476" s="431"/>
      <c r="T476" s="431"/>
      <c r="U476" s="431"/>
      <c r="V476" s="431"/>
      <c r="W476" s="431"/>
      <c r="X476" s="431"/>
      <c r="Y476" s="431"/>
      <c r="Z476" s="431"/>
      <c r="AA476" s="375"/>
      <c r="AB476" s="375"/>
      <c r="AC476" s="399"/>
    </row>
    <row r="477" spans="1:37" s="362" customFormat="1" hidden="1" x14ac:dyDescent="0.25">
      <c r="A477" s="389"/>
      <c r="B477" s="372"/>
      <c r="C477" s="372"/>
      <c r="D477" s="372" t="s">
        <v>974</v>
      </c>
      <c r="E477" s="382">
        <v>434.45220859375002</v>
      </c>
      <c r="F477" s="383">
        <v>426.61628124999999</v>
      </c>
      <c r="G477" s="384">
        <v>415.74024140624999</v>
      </c>
      <c r="H477" s="421"/>
      <c r="I477" s="375"/>
      <c r="J477" s="375"/>
      <c r="K477" s="375"/>
      <c r="L477" s="375"/>
      <c r="M477" s="375"/>
      <c r="N477" s="375"/>
      <c r="O477" s="375"/>
      <c r="P477" s="375"/>
      <c r="Q477" s="375"/>
      <c r="R477" s="375"/>
      <c r="S477" s="375"/>
      <c r="T477" s="375"/>
      <c r="U477" s="375"/>
      <c r="V477" s="375"/>
      <c r="W477" s="375"/>
      <c r="X477" s="375"/>
      <c r="Y477" s="375"/>
      <c r="Z477" s="375"/>
      <c r="AA477" s="375"/>
      <c r="AB477" s="375"/>
      <c r="AC477" s="399"/>
    </row>
    <row r="478" spans="1:37" s="362" customFormat="1" hidden="1" x14ac:dyDescent="0.25">
      <c r="A478" s="389"/>
      <c r="B478" s="372"/>
      <c r="C478" s="372"/>
      <c r="D478" s="372" t="s">
        <v>976</v>
      </c>
      <c r="E478" s="382">
        <v>288.67952734375001</v>
      </c>
      <c r="F478" s="383">
        <v>285.01043046874997</v>
      </c>
      <c r="G478" s="384">
        <v>268.73964550781199</v>
      </c>
      <c r="H478" s="421"/>
      <c r="I478" s="375"/>
      <c r="J478" s="375"/>
      <c r="K478" s="375"/>
      <c r="L478" s="375"/>
      <c r="M478" s="375"/>
      <c r="N478" s="375"/>
      <c r="O478" s="375"/>
      <c r="P478" s="375"/>
      <c r="Q478" s="375"/>
      <c r="R478" s="375"/>
      <c r="S478" s="375"/>
      <c r="T478" s="375"/>
      <c r="U478" s="375"/>
      <c r="V478" s="375"/>
      <c r="W478" s="375"/>
      <c r="X478" s="375"/>
      <c r="Y478" s="375"/>
      <c r="Z478" s="375"/>
      <c r="AA478" s="375"/>
      <c r="AB478" s="375"/>
      <c r="AC478" s="399"/>
    </row>
    <row r="479" spans="1:37" s="362" customFormat="1" hidden="1" x14ac:dyDescent="0.25">
      <c r="A479" s="389"/>
      <c r="B479" s="372"/>
      <c r="C479" s="372"/>
      <c r="D479" s="372"/>
      <c r="E479" s="382"/>
      <c r="F479" s="383"/>
      <c r="G479" s="384"/>
      <c r="H479" s="421"/>
      <c r="I479" s="375"/>
      <c r="J479" s="375"/>
      <c r="K479" s="375"/>
      <c r="L479" s="375"/>
      <c r="M479" s="375"/>
      <c r="N479" s="431"/>
      <c r="O479" s="431"/>
      <c r="P479" s="431"/>
      <c r="Q479" s="431"/>
      <c r="R479" s="431"/>
      <c r="S479" s="431"/>
      <c r="T479" s="431"/>
      <c r="U479" s="431"/>
      <c r="V479" s="431"/>
      <c r="W479" s="431"/>
      <c r="X479" s="431"/>
      <c r="Y479" s="431"/>
      <c r="Z479" s="431"/>
      <c r="AA479" s="375"/>
      <c r="AB479" s="375"/>
      <c r="AC479" s="399"/>
    </row>
    <row r="480" spans="1:37" s="362" customFormat="1" hidden="1" x14ac:dyDescent="0.25">
      <c r="A480" s="389"/>
      <c r="B480" s="372"/>
      <c r="C480" s="372"/>
      <c r="D480" s="372"/>
      <c r="E480" s="382"/>
      <c r="F480" s="383"/>
      <c r="G480" s="384"/>
      <c r="H480" s="421"/>
      <c r="I480" s="375"/>
      <c r="J480" s="375"/>
      <c r="K480" s="375"/>
      <c r="L480" s="375"/>
      <c r="M480" s="375"/>
      <c r="N480" s="431"/>
      <c r="O480" s="431"/>
      <c r="P480" s="431"/>
      <c r="Q480" s="431"/>
      <c r="R480" s="431"/>
      <c r="S480" s="431"/>
      <c r="T480" s="431"/>
      <c r="U480" s="431"/>
      <c r="V480" s="431"/>
      <c r="W480" s="431"/>
      <c r="X480" s="431"/>
      <c r="Y480" s="431"/>
      <c r="Z480" s="431"/>
      <c r="AA480" s="375"/>
      <c r="AB480" s="375"/>
      <c r="AC480" s="399"/>
    </row>
    <row r="481" spans="1:40" s="362" customFormat="1" hidden="1" x14ac:dyDescent="0.25">
      <c r="A481" s="389"/>
      <c r="B481" s="372"/>
      <c r="C481" s="372"/>
      <c r="D481" s="372"/>
      <c r="E481" s="382"/>
      <c r="F481" s="383"/>
      <c r="G481" s="384"/>
      <c r="H481" s="421"/>
      <c r="I481" s="375"/>
      <c r="J481" s="375"/>
      <c r="K481" s="375"/>
      <c r="L481" s="375"/>
      <c r="M481" s="375"/>
      <c r="N481" s="431"/>
      <c r="O481" s="431"/>
      <c r="P481" s="431"/>
      <c r="Q481" s="431"/>
      <c r="R481" s="431"/>
      <c r="S481" s="431"/>
      <c r="T481" s="431"/>
      <c r="U481" s="431"/>
      <c r="V481" s="431"/>
      <c r="W481" s="431"/>
      <c r="X481" s="431"/>
      <c r="Y481" s="431"/>
      <c r="Z481" s="431"/>
      <c r="AA481" s="375"/>
      <c r="AB481" s="375"/>
      <c r="AC481" s="399"/>
    </row>
    <row r="482" spans="1:40" s="386" customFormat="1" hidden="1" x14ac:dyDescent="0.25">
      <c r="A482" s="409"/>
      <c r="B482" s="406"/>
      <c r="C482" s="406"/>
      <c r="D482" s="406"/>
      <c r="E482" s="407"/>
      <c r="F482" s="407"/>
      <c r="G482" s="407">
        <v>2000</v>
      </c>
      <c r="H482" s="407"/>
      <c r="I482" s="407"/>
      <c r="J482" s="407"/>
      <c r="K482" s="407"/>
      <c r="L482" s="407"/>
      <c r="M482" s="407"/>
      <c r="N482" s="407"/>
      <c r="O482" s="407"/>
      <c r="P482" s="407"/>
      <c r="Q482" s="407"/>
      <c r="R482" s="407"/>
      <c r="S482" s="407"/>
      <c r="T482" s="407"/>
      <c r="U482" s="407"/>
      <c r="V482" s="407"/>
      <c r="W482" s="407"/>
      <c r="X482" s="407"/>
      <c r="Y482" s="407"/>
      <c r="Z482" s="407"/>
      <c r="AA482" s="407"/>
      <c r="AB482" s="407"/>
      <c r="AC482" s="413"/>
    </row>
    <row r="483" spans="1:40" x14ac:dyDescent="0.25">
      <c r="A483" s="418" t="s">
        <v>883</v>
      </c>
      <c r="B483" s="437" t="s">
        <v>884</v>
      </c>
      <c r="C483" s="437" t="s">
        <v>473</v>
      </c>
      <c r="D483" s="436" t="s">
        <v>904</v>
      </c>
      <c r="E483" s="420"/>
      <c r="F483" s="420"/>
      <c r="G483" s="420">
        <v>70</v>
      </c>
      <c r="H483" s="421">
        <v>2000</v>
      </c>
      <c r="I483" s="421">
        <v>70</v>
      </c>
      <c r="J483" s="421">
        <v>2015</v>
      </c>
      <c r="K483" s="411">
        <v>37.101700000000001</v>
      </c>
      <c r="L483" s="421">
        <v>50</v>
      </c>
      <c r="M483" s="421"/>
      <c r="N483" s="421">
        <f>(L483-K483)*0.5+K483</f>
        <v>43.550849999999997</v>
      </c>
      <c r="O483" s="421">
        <f>(Table14[[#This Row],[Ambitious target 2030]]-Table14[[#This Row],[Model reference value]])*0.25+Table14[[#This Row],[Model reference value]]</f>
        <v>40.326275000000003</v>
      </c>
      <c r="P483" s="421">
        <f>K483</f>
        <v>37.101700000000001</v>
      </c>
      <c r="Q483" s="421">
        <v>60</v>
      </c>
      <c r="R483" s="421"/>
      <c r="S483" s="421">
        <f>(Table14[[#This Row],[Ambitious target 2050]]-Table14[[#This Row],[Model reference value]])*0.5+Table14[[#This Row],[Model reference value]]</f>
        <v>48.550849999999997</v>
      </c>
      <c r="T483" s="421">
        <f>(Table14[[#This Row],[Ambitious target 2050]]-Table14[[#This Row],[Model reference value]])*0.25+Table14[[#This Row],[Model reference value]]</f>
        <v>42.826275000000003</v>
      </c>
      <c r="U483" s="421">
        <f>Table14[[#This Row],[Worst value 2030]]</f>
        <v>37.101700000000001</v>
      </c>
      <c r="V483" s="421">
        <v>70</v>
      </c>
      <c r="W483" s="421"/>
      <c r="X483" s="421">
        <f>(Table14[[#This Row],[Ambitious target 2100]]-Table14[[#This Row],[Model reference value]])*0.5+Table14[[#This Row],[Model reference value]]</f>
        <v>53.550849999999997</v>
      </c>
      <c r="Y483" s="421">
        <f>(Table14[[#This Row],[Ambitious target 2100]]-Table14[[#This Row],[Model reference value]])*0.25+Table14[[#This Row],[Model reference value]]</f>
        <v>45.326275000000003</v>
      </c>
      <c r="Z483" s="421">
        <f>Table14[[#This Row],[Worst value 2030]]</f>
        <v>37.101700000000001</v>
      </c>
      <c r="AA483" s="421" t="s">
        <v>982</v>
      </c>
      <c r="AB483" s="421" t="s">
        <v>1188</v>
      </c>
      <c r="AC483" s="419" t="s">
        <v>890</v>
      </c>
      <c r="AD483" s="360"/>
      <c r="AE483" s="360"/>
      <c r="AF483" s="360"/>
      <c r="AG483" s="360"/>
      <c r="AH483" s="360"/>
      <c r="AI483" s="360"/>
      <c r="AJ483" s="360"/>
      <c r="AK483" s="360"/>
    </row>
    <row r="484" spans="1:40" hidden="1" x14ac:dyDescent="0.25">
      <c r="A484" s="390"/>
      <c r="B484" s="369"/>
      <c r="C484" s="369"/>
      <c r="D484" s="372" t="s">
        <v>893</v>
      </c>
      <c r="E484" s="379"/>
      <c r="F484" s="380"/>
      <c r="G484" s="381">
        <v>87</v>
      </c>
      <c r="H484" s="421">
        <v>2000</v>
      </c>
      <c r="I484" s="375">
        <v>87</v>
      </c>
      <c r="J484" s="375"/>
      <c r="K484" s="375"/>
      <c r="L484" s="375"/>
      <c r="M484" s="375"/>
      <c r="N484" s="375"/>
      <c r="O484" s="375"/>
      <c r="P484" s="375"/>
      <c r="Q484" s="375"/>
      <c r="R484" s="375"/>
      <c r="S484" s="375"/>
      <c r="T484" s="375"/>
      <c r="U484" s="375"/>
      <c r="V484" s="375"/>
      <c r="W484" s="375"/>
      <c r="X484" s="375"/>
      <c r="Y484" s="375"/>
      <c r="Z484" s="375"/>
      <c r="AA484" s="375"/>
      <c r="AB484" s="375"/>
      <c r="AC484" s="396"/>
      <c r="AD484" s="360"/>
      <c r="AE484" s="360"/>
      <c r="AF484" s="360"/>
      <c r="AG484" s="360"/>
      <c r="AH484" s="360"/>
      <c r="AI484" s="360"/>
      <c r="AJ484" s="360"/>
      <c r="AK484" s="360"/>
    </row>
    <row r="485" spans="1:40" hidden="1" x14ac:dyDescent="0.25">
      <c r="A485" s="390"/>
      <c r="B485" s="369"/>
      <c r="C485" s="369"/>
      <c r="D485" s="372" t="s">
        <v>894</v>
      </c>
      <c r="E485" s="379"/>
      <c r="F485" s="380"/>
      <c r="G485" s="381">
        <v>78</v>
      </c>
      <c r="H485" s="421">
        <v>2000</v>
      </c>
      <c r="I485" s="375">
        <v>78</v>
      </c>
      <c r="J485" s="375"/>
      <c r="K485" s="375"/>
      <c r="L485" s="375"/>
      <c r="M485" s="375"/>
      <c r="N485" s="375"/>
      <c r="O485" s="375"/>
      <c r="P485" s="375"/>
      <c r="Q485" s="375"/>
      <c r="R485" s="375"/>
      <c r="S485" s="375"/>
      <c r="T485" s="375"/>
      <c r="U485" s="375"/>
      <c r="V485" s="375"/>
      <c r="W485" s="375"/>
      <c r="X485" s="375"/>
      <c r="Y485" s="375"/>
      <c r="Z485" s="375"/>
      <c r="AA485" s="375"/>
      <c r="AB485" s="375"/>
      <c r="AC485" s="396"/>
      <c r="AD485" s="360"/>
      <c r="AE485" s="360"/>
      <c r="AF485" s="360"/>
      <c r="AG485" s="360"/>
      <c r="AH485" s="360"/>
      <c r="AI485" s="360"/>
      <c r="AJ485" s="360"/>
      <c r="AK485" s="360"/>
    </row>
    <row r="486" spans="1:40" hidden="1" x14ac:dyDescent="0.25">
      <c r="A486" s="390"/>
      <c r="B486" s="369"/>
      <c r="C486" s="369"/>
      <c r="D486" s="372" t="s">
        <v>897</v>
      </c>
      <c r="E486" s="379"/>
      <c r="F486" s="380"/>
      <c r="G486" s="381">
        <v>76</v>
      </c>
      <c r="H486" s="421">
        <v>2000</v>
      </c>
      <c r="I486" s="375">
        <v>76</v>
      </c>
      <c r="J486" s="375"/>
      <c r="K486" s="375"/>
      <c r="L486" s="375"/>
      <c r="M486" s="375"/>
      <c r="N486" s="375"/>
      <c r="O486" s="375"/>
      <c r="P486" s="375"/>
      <c r="Q486" s="375"/>
      <c r="R486" s="375"/>
      <c r="S486" s="375"/>
      <c r="T486" s="375"/>
      <c r="U486" s="375"/>
      <c r="V486" s="375"/>
      <c r="W486" s="375"/>
      <c r="X486" s="375"/>
      <c r="Y486" s="375"/>
      <c r="Z486" s="375"/>
      <c r="AA486" s="375"/>
      <c r="AB486" s="375"/>
      <c r="AC486" s="401"/>
      <c r="AD486" s="360"/>
      <c r="AE486" s="360"/>
      <c r="AF486" s="360"/>
      <c r="AG486" s="360"/>
      <c r="AH486" s="360"/>
      <c r="AI486" s="360"/>
      <c r="AJ486" s="360"/>
      <c r="AK486" s="360"/>
    </row>
    <row r="487" spans="1:40" hidden="1" x14ac:dyDescent="0.25">
      <c r="A487" s="390"/>
      <c r="B487" s="369"/>
      <c r="C487" s="369"/>
      <c r="D487" s="372" t="s">
        <v>898</v>
      </c>
      <c r="E487" s="379"/>
      <c r="F487" s="380"/>
      <c r="G487" s="381">
        <v>76</v>
      </c>
      <c r="H487" s="421">
        <v>2000</v>
      </c>
      <c r="I487" s="375">
        <v>76</v>
      </c>
      <c r="J487" s="375"/>
      <c r="K487" s="375"/>
      <c r="L487" s="375"/>
      <c r="M487" s="375"/>
      <c r="N487" s="375"/>
      <c r="O487" s="375"/>
      <c r="P487" s="375"/>
      <c r="Q487" s="375"/>
      <c r="R487" s="375"/>
      <c r="S487" s="375"/>
      <c r="T487" s="375"/>
      <c r="U487" s="375"/>
      <c r="V487" s="375"/>
      <c r="W487" s="375"/>
      <c r="X487" s="375"/>
      <c r="Y487" s="375"/>
      <c r="Z487" s="375"/>
      <c r="AA487" s="375"/>
      <c r="AB487" s="375"/>
      <c r="AC487" s="398"/>
      <c r="AD487" s="360"/>
      <c r="AE487" s="360"/>
      <c r="AF487" s="360"/>
      <c r="AG487" s="360"/>
      <c r="AH487" s="360"/>
      <c r="AI487" s="360"/>
      <c r="AJ487" s="360"/>
      <c r="AK487" s="360"/>
    </row>
    <row r="488" spans="1:40" hidden="1" x14ac:dyDescent="0.25">
      <c r="A488" s="390"/>
      <c r="B488" s="369"/>
      <c r="C488" s="369"/>
      <c r="D488" s="372" t="s">
        <v>895</v>
      </c>
      <c r="E488" s="382"/>
      <c r="F488" s="383"/>
      <c r="G488" s="384">
        <v>75</v>
      </c>
      <c r="H488" s="421">
        <v>2000</v>
      </c>
      <c r="I488" s="375">
        <v>75</v>
      </c>
      <c r="J488" s="375"/>
      <c r="K488" s="375"/>
      <c r="L488" s="375"/>
      <c r="M488" s="375"/>
      <c r="N488" s="375"/>
      <c r="O488" s="375"/>
      <c r="P488" s="375"/>
      <c r="Q488" s="375"/>
      <c r="R488" s="375"/>
      <c r="S488" s="375"/>
      <c r="T488" s="375"/>
      <c r="U488" s="375"/>
      <c r="V488" s="375"/>
      <c r="W488" s="375"/>
      <c r="X488" s="375"/>
      <c r="Y488" s="375"/>
      <c r="Z488" s="375"/>
      <c r="AA488" s="375"/>
      <c r="AB488" s="375"/>
      <c r="AC488" s="396"/>
      <c r="AD488" s="360"/>
      <c r="AE488" s="360"/>
      <c r="AF488" s="360"/>
      <c r="AG488" s="360"/>
      <c r="AH488" s="360"/>
      <c r="AI488" s="360"/>
      <c r="AJ488" s="360"/>
      <c r="AK488" s="360"/>
    </row>
    <row r="489" spans="1:40" hidden="1" x14ac:dyDescent="0.25">
      <c r="A489" s="390"/>
      <c r="B489" s="369"/>
      <c r="C489" s="369"/>
      <c r="D489" s="372" t="s">
        <v>896</v>
      </c>
      <c r="E489" s="382"/>
      <c r="F489" s="383"/>
      <c r="G489" s="384">
        <v>73</v>
      </c>
      <c r="H489" s="421">
        <v>2000</v>
      </c>
      <c r="I489" s="375">
        <v>73</v>
      </c>
      <c r="J489" s="375"/>
      <c r="K489" s="375"/>
      <c r="L489" s="375"/>
      <c r="M489" s="375"/>
      <c r="N489" s="375"/>
      <c r="O489" s="375"/>
      <c r="P489" s="375"/>
      <c r="Q489" s="375"/>
      <c r="R489" s="375"/>
      <c r="S489" s="375"/>
      <c r="T489" s="375"/>
      <c r="U489" s="375"/>
      <c r="V489" s="375"/>
      <c r="W489" s="375"/>
      <c r="X489" s="375"/>
      <c r="Y489" s="375"/>
      <c r="Z489" s="375"/>
      <c r="AA489" s="375"/>
      <c r="AB489" s="375"/>
      <c r="AC489" s="396"/>
      <c r="AD489" s="360"/>
      <c r="AE489" s="360"/>
      <c r="AF489" s="360"/>
      <c r="AG489" s="360"/>
      <c r="AH489" s="360"/>
      <c r="AI489" s="360"/>
      <c r="AJ489" s="360"/>
      <c r="AK489" s="360"/>
    </row>
    <row r="490" spans="1:40" hidden="1" x14ac:dyDescent="0.25">
      <c r="A490" s="390"/>
      <c r="B490" s="369"/>
      <c r="C490" s="369"/>
      <c r="D490" s="372" t="s">
        <v>899</v>
      </c>
      <c r="E490" s="382"/>
      <c r="F490" s="383"/>
      <c r="G490" s="384">
        <v>55</v>
      </c>
      <c r="H490" s="421">
        <v>2000</v>
      </c>
      <c r="I490" s="375">
        <v>55</v>
      </c>
      <c r="J490" s="375"/>
      <c r="K490" s="375"/>
      <c r="L490" s="375"/>
      <c r="M490" s="375"/>
      <c r="N490" s="375"/>
      <c r="O490" s="375"/>
      <c r="P490" s="375"/>
      <c r="Q490" s="375"/>
      <c r="R490" s="375"/>
      <c r="S490" s="375"/>
      <c r="T490" s="375"/>
      <c r="U490" s="375"/>
      <c r="V490" s="375"/>
      <c r="W490" s="375"/>
      <c r="X490" s="375"/>
      <c r="Y490" s="375"/>
      <c r="Z490" s="375"/>
      <c r="AA490" s="375"/>
      <c r="AB490" s="375"/>
      <c r="AC490" s="396"/>
      <c r="AD490" s="360"/>
      <c r="AE490" s="360"/>
      <c r="AF490" s="360"/>
      <c r="AG490" s="360"/>
      <c r="AH490" s="360"/>
      <c r="AI490" s="360"/>
      <c r="AJ490" s="360"/>
      <c r="AK490" s="360"/>
    </row>
    <row r="491" spans="1:40" hidden="1" x14ac:dyDescent="0.25">
      <c r="A491" s="402"/>
      <c r="B491" s="370"/>
      <c r="C491" s="370"/>
      <c r="D491" s="400" t="s">
        <v>900</v>
      </c>
      <c r="E491" s="397"/>
      <c r="F491" s="395"/>
      <c r="G491" s="393">
        <v>45</v>
      </c>
      <c r="H491" s="421">
        <v>2000</v>
      </c>
      <c r="I491" s="392">
        <v>45</v>
      </c>
      <c r="J491" s="392"/>
      <c r="K491" s="392"/>
      <c r="L491" s="392"/>
      <c r="M491" s="392"/>
      <c r="N491" s="392"/>
      <c r="O491" s="392"/>
      <c r="P491" s="392"/>
      <c r="Q491" s="392"/>
      <c r="R491" s="392"/>
      <c r="S491" s="392"/>
      <c r="T491" s="392"/>
      <c r="U491" s="392"/>
      <c r="V491" s="392"/>
      <c r="W491" s="392"/>
      <c r="X491" s="392"/>
      <c r="Y491" s="392"/>
      <c r="Z491" s="392"/>
      <c r="AA491" s="392"/>
      <c r="AB491" s="392"/>
      <c r="AC491" s="404"/>
      <c r="AD491" s="360"/>
      <c r="AE491" s="360"/>
      <c r="AF491" s="360"/>
      <c r="AG491" s="360"/>
      <c r="AH491" s="360"/>
      <c r="AI491" s="360"/>
      <c r="AJ491" s="360"/>
      <c r="AK491" s="360"/>
    </row>
    <row r="492" spans="1:40" x14ac:dyDescent="0.25">
      <c r="A492" s="376"/>
      <c r="B492" s="439"/>
      <c r="C492" s="439"/>
      <c r="D492" s="439"/>
      <c r="E492" s="376"/>
      <c r="F492" s="376"/>
      <c r="G492" s="376"/>
      <c r="AL492" s="376"/>
      <c r="AM492" s="376"/>
      <c r="AN492" s="376"/>
    </row>
    <row r="493" spans="1:40" x14ac:dyDescent="0.25">
      <c r="A493" s="376"/>
      <c r="B493" s="439"/>
      <c r="C493" s="439"/>
      <c r="D493" s="439"/>
      <c r="E493" s="376"/>
      <c r="F493" s="376"/>
      <c r="G493" s="376"/>
      <c r="AL493" s="376"/>
      <c r="AM493" s="376"/>
      <c r="AN493" s="376"/>
    </row>
    <row r="494" spans="1:40" x14ac:dyDescent="0.25">
      <c r="A494" s="376"/>
      <c r="B494" s="439"/>
      <c r="C494" s="439"/>
      <c r="D494" s="439"/>
      <c r="E494" s="376"/>
      <c r="F494" s="376"/>
      <c r="G494" s="376"/>
      <c r="AL494" s="376"/>
      <c r="AM494" s="376"/>
      <c r="AN494" s="376"/>
    </row>
    <row r="495" spans="1:40" x14ac:dyDescent="0.25">
      <c r="A495" s="376"/>
      <c r="B495" s="439"/>
      <c r="C495" s="439"/>
      <c r="D495" s="439"/>
      <c r="E495" s="376"/>
      <c r="F495" s="376"/>
      <c r="G495" s="376"/>
      <c r="AL495" s="376"/>
      <c r="AM495" s="376"/>
      <c r="AN495" s="376"/>
    </row>
    <row r="496" spans="1:40" x14ac:dyDescent="0.25">
      <c r="A496" s="376"/>
      <c r="B496" s="439"/>
      <c r="C496" s="439"/>
      <c r="D496" s="439"/>
      <c r="E496" s="376"/>
      <c r="F496" s="376"/>
      <c r="G496" s="376"/>
      <c r="AL496" s="376"/>
      <c r="AM496" s="376"/>
      <c r="AN496" s="376"/>
    </row>
    <row r="497" spans="1:40" x14ac:dyDescent="0.25">
      <c r="A497" s="376"/>
      <c r="B497" s="439"/>
      <c r="C497" s="439"/>
      <c r="D497" s="439"/>
      <c r="E497" s="376"/>
      <c r="F497" s="376"/>
      <c r="G497" s="376"/>
      <c r="K497" s="405"/>
      <c r="AL497" s="376"/>
      <c r="AM497" s="376"/>
      <c r="AN497" s="376"/>
    </row>
    <row r="498" spans="1:40" x14ac:dyDescent="0.25">
      <c r="A498" s="376"/>
      <c r="B498" s="439"/>
      <c r="C498" s="439"/>
      <c r="D498" s="439"/>
      <c r="E498" s="376"/>
      <c r="F498" s="376"/>
      <c r="G498" s="376"/>
      <c r="AL498" s="376"/>
      <c r="AM498" s="376"/>
      <c r="AN498" s="376"/>
    </row>
    <row r="499" spans="1:40" x14ac:dyDescent="0.25">
      <c r="A499" s="376"/>
      <c r="B499" s="439"/>
      <c r="C499" s="439"/>
      <c r="D499" s="439"/>
      <c r="E499" s="376"/>
      <c r="F499" s="376"/>
      <c r="G499" s="376"/>
      <c r="AL499" s="376"/>
      <c r="AM499" s="376"/>
      <c r="AN499" s="376"/>
    </row>
    <row r="500" spans="1:40" x14ac:dyDescent="0.25">
      <c r="A500" s="376"/>
      <c r="B500" s="439"/>
      <c r="C500" s="439"/>
      <c r="D500" s="439"/>
      <c r="E500" s="376"/>
      <c r="F500" s="376"/>
      <c r="G500" s="376"/>
      <c r="AL500" s="376"/>
      <c r="AM500" s="376"/>
      <c r="AN500" s="376"/>
    </row>
    <row r="501" spans="1:40" x14ac:dyDescent="0.25">
      <c r="A501" s="376"/>
      <c r="B501" s="439"/>
      <c r="C501" s="439"/>
      <c r="D501" s="439"/>
      <c r="E501" s="376"/>
      <c r="F501" s="376"/>
      <c r="G501" s="376"/>
      <c r="AL501" s="376"/>
      <c r="AM501" s="376"/>
      <c r="AN501" s="376"/>
    </row>
    <row r="502" spans="1:40" x14ac:dyDescent="0.25">
      <c r="A502" s="376"/>
      <c r="B502" s="439"/>
      <c r="C502" s="439"/>
      <c r="D502" s="439"/>
      <c r="E502" s="376"/>
      <c r="F502" s="376"/>
      <c r="G502" s="376"/>
      <c r="AL502" s="376"/>
      <c r="AM502" s="376"/>
      <c r="AN502" s="376"/>
    </row>
    <row r="503" spans="1:40" x14ac:dyDescent="0.25">
      <c r="A503" s="376"/>
      <c r="B503" s="439"/>
      <c r="C503" s="439"/>
      <c r="D503" s="439"/>
      <c r="E503" s="376"/>
      <c r="F503" s="376"/>
      <c r="G503" s="376"/>
      <c r="AL503" s="376"/>
      <c r="AM503" s="376"/>
      <c r="AN503" s="376"/>
    </row>
    <row r="504" spans="1:40" x14ac:dyDescent="0.25">
      <c r="A504" s="376"/>
      <c r="B504" s="439"/>
      <c r="C504" s="439"/>
      <c r="D504" s="439"/>
      <c r="E504" s="376"/>
      <c r="F504" s="376"/>
      <c r="G504" s="376"/>
      <c r="AL504" s="376"/>
      <c r="AM504" s="376"/>
      <c r="AN504" s="376"/>
    </row>
    <row r="505" spans="1:40" x14ac:dyDescent="0.25">
      <c r="A505" s="376"/>
      <c r="B505" s="439"/>
      <c r="C505" s="439"/>
      <c r="D505" s="439"/>
      <c r="E505" s="376"/>
      <c r="F505" s="376"/>
      <c r="G505" s="376"/>
      <c r="AL505" s="376"/>
      <c r="AM505" s="376"/>
      <c r="AN505" s="376"/>
    </row>
    <row r="506" spans="1:40" x14ac:dyDescent="0.25">
      <c r="A506" s="376"/>
      <c r="B506" s="439"/>
      <c r="C506" s="439"/>
      <c r="D506" s="439"/>
      <c r="E506" s="376"/>
      <c r="F506" s="376"/>
      <c r="G506" s="376"/>
      <c r="AL506" s="376"/>
      <c r="AM506" s="376"/>
      <c r="AN506" s="376"/>
    </row>
    <row r="507" spans="1:40" x14ac:dyDescent="0.25">
      <c r="A507" s="376"/>
      <c r="B507" s="439"/>
      <c r="C507" s="439"/>
      <c r="D507" s="439"/>
      <c r="E507" s="376"/>
      <c r="F507" s="376"/>
      <c r="G507" s="376"/>
      <c r="AL507" s="376"/>
      <c r="AM507" s="376"/>
      <c r="AN507" s="376"/>
    </row>
    <row r="508" spans="1:40" x14ac:dyDescent="0.25">
      <c r="A508" s="376"/>
      <c r="B508" s="439"/>
      <c r="C508" s="439"/>
      <c r="D508" s="439"/>
      <c r="E508" s="376"/>
      <c r="F508" s="376"/>
      <c r="G508" s="376"/>
      <c r="AL508" s="376"/>
      <c r="AM508" s="376"/>
      <c r="AN508" s="376"/>
    </row>
    <row r="509" spans="1:40" x14ac:dyDescent="0.25">
      <c r="A509" s="376"/>
      <c r="B509" s="439"/>
      <c r="C509" s="439"/>
      <c r="D509" s="439"/>
      <c r="E509" s="376"/>
      <c r="F509" s="376"/>
      <c r="G509" s="376"/>
      <c r="AL509" s="376"/>
      <c r="AM509" s="376"/>
      <c r="AN509" s="376"/>
    </row>
    <row r="510" spans="1:40" x14ac:dyDescent="0.25">
      <c r="A510" s="376"/>
      <c r="B510" s="439"/>
      <c r="C510" s="439"/>
      <c r="D510" s="439"/>
      <c r="E510" s="376"/>
      <c r="F510" s="376"/>
      <c r="G510" s="376"/>
      <c r="AL510" s="376"/>
      <c r="AM510" s="376"/>
      <c r="AN510" s="376"/>
    </row>
    <row r="511" spans="1:40" x14ac:dyDescent="0.25">
      <c r="A511" s="376"/>
      <c r="B511" s="439"/>
      <c r="C511" s="439"/>
      <c r="D511" s="439"/>
      <c r="E511" s="376"/>
      <c r="F511" s="376"/>
      <c r="G511" s="376"/>
      <c r="AL511" s="376"/>
      <c r="AM511" s="376"/>
      <c r="AN511" s="376"/>
    </row>
    <row r="512" spans="1:40" x14ac:dyDescent="0.25">
      <c r="A512" s="376"/>
      <c r="B512" s="439"/>
      <c r="C512" s="439"/>
      <c r="D512" s="439"/>
      <c r="E512" s="376"/>
      <c r="F512" s="376"/>
      <c r="G512" s="376"/>
      <c r="AL512" s="376"/>
      <c r="AM512" s="376"/>
      <c r="AN512" s="376"/>
    </row>
    <row r="513" spans="1:40" x14ac:dyDescent="0.25">
      <c r="A513" s="376"/>
      <c r="B513" s="439"/>
      <c r="C513" s="439"/>
      <c r="D513" s="439"/>
      <c r="E513" s="376"/>
      <c r="F513" s="376"/>
      <c r="G513" s="376"/>
      <c r="AL513" s="376"/>
      <c r="AM513" s="376"/>
      <c r="AN513" s="376"/>
    </row>
    <row r="514" spans="1:40" x14ac:dyDescent="0.25">
      <c r="A514" s="376"/>
      <c r="B514" s="439"/>
      <c r="C514" s="439"/>
      <c r="D514" s="439"/>
      <c r="E514" s="376"/>
      <c r="F514" s="376"/>
      <c r="G514" s="376"/>
      <c r="AL514" s="376"/>
      <c r="AM514" s="376"/>
      <c r="AN514" s="376"/>
    </row>
    <row r="515" spans="1:40" x14ac:dyDescent="0.25">
      <c r="A515" s="376"/>
      <c r="B515" s="439"/>
      <c r="C515" s="439"/>
      <c r="D515" s="439"/>
      <c r="E515" s="376"/>
      <c r="F515" s="376"/>
      <c r="G515" s="376"/>
      <c r="AL515" s="376"/>
      <c r="AM515" s="376"/>
      <c r="AN515" s="376"/>
    </row>
    <row r="516" spans="1:40" x14ac:dyDescent="0.25">
      <c r="A516" s="376"/>
      <c r="B516" s="439"/>
      <c r="C516" s="439"/>
      <c r="D516" s="439"/>
      <c r="E516" s="376"/>
      <c r="F516" s="376"/>
      <c r="G516" s="376"/>
      <c r="AL516" s="376"/>
      <c r="AM516" s="376"/>
      <c r="AN516" s="376"/>
    </row>
    <row r="517" spans="1:40" x14ac:dyDescent="0.25">
      <c r="A517" s="376"/>
      <c r="B517" s="439"/>
      <c r="C517" s="439"/>
      <c r="D517" s="439"/>
      <c r="E517" s="376"/>
      <c r="F517" s="376"/>
      <c r="G517" s="376"/>
      <c r="AL517" s="376"/>
      <c r="AM517" s="376"/>
      <c r="AN517" s="376"/>
    </row>
    <row r="518" spans="1:40" x14ac:dyDescent="0.25">
      <c r="A518" s="376"/>
      <c r="B518" s="439"/>
      <c r="C518" s="439"/>
      <c r="D518" s="439"/>
      <c r="E518" s="376"/>
      <c r="F518" s="376"/>
      <c r="G518" s="376"/>
      <c r="AL518" s="376"/>
      <c r="AM518" s="376"/>
      <c r="AN518" s="376"/>
    </row>
    <row r="519" spans="1:40" x14ac:dyDescent="0.25">
      <c r="A519" s="376"/>
      <c r="B519" s="439"/>
      <c r="C519" s="439"/>
      <c r="D519" s="439"/>
      <c r="E519" s="376"/>
      <c r="F519" s="376"/>
      <c r="G519" s="376"/>
      <c r="AL519" s="376"/>
      <c r="AM519" s="376"/>
      <c r="AN519" s="376"/>
    </row>
    <row r="520" spans="1:40" x14ac:dyDescent="0.25">
      <c r="A520" s="376"/>
      <c r="B520" s="439"/>
      <c r="C520" s="439"/>
      <c r="D520" s="439"/>
      <c r="E520" s="376"/>
      <c r="F520" s="376"/>
      <c r="G520" s="376"/>
      <c r="AL520" s="376"/>
      <c r="AM520" s="376"/>
      <c r="AN520" s="376"/>
    </row>
    <row r="521" spans="1:40" x14ac:dyDescent="0.25">
      <c r="A521" s="376"/>
      <c r="B521" s="439"/>
      <c r="C521" s="439"/>
      <c r="D521" s="439"/>
      <c r="E521" s="376"/>
      <c r="F521" s="376"/>
      <c r="G521" s="376"/>
      <c r="AL521" s="376"/>
      <c r="AM521" s="376"/>
      <c r="AN521" s="376"/>
    </row>
    <row r="522" spans="1:40" x14ac:dyDescent="0.25">
      <c r="A522" s="376"/>
      <c r="B522" s="439"/>
      <c r="C522" s="439"/>
      <c r="D522" s="439"/>
      <c r="E522" s="376"/>
      <c r="F522" s="376"/>
      <c r="G522" s="376"/>
      <c r="AL522" s="376"/>
      <c r="AM522" s="376"/>
      <c r="AN522" s="376"/>
    </row>
    <row r="523" spans="1:40" x14ac:dyDescent="0.25">
      <c r="A523" s="376"/>
      <c r="B523" s="439"/>
      <c r="C523" s="439"/>
      <c r="D523" s="439"/>
      <c r="E523" s="376"/>
      <c r="F523" s="376"/>
      <c r="G523" s="376"/>
      <c r="AL523" s="376"/>
      <c r="AM523" s="376"/>
      <c r="AN523" s="376"/>
    </row>
    <row r="524" spans="1:40" x14ac:dyDescent="0.25">
      <c r="A524" s="376"/>
      <c r="B524" s="439"/>
      <c r="C524" s="439"/>
      <c r="D524" s="439"/>
      <c r="E524" s="376"/>
      <c r="F524" s="376"/>
      <c r="G524" s="376"/>
      <c r="AL524" s="376"/>
      <c r="AM524" s="376"/>
      <c r="AN524" s="376"/>
    </row>
    <row r="525" spans="1:40" x14ac:dyDescent="0.25">
      <c r="A525" s="376"/>
      <c r="B525" s="439"/>
      <c r="C525" s="439"/>
      <c r="D525" s="439"/>
      <c r="E525" s="376"/>
      <c r="F525" s="376"/>
      <c r="G525" s="376"/>
      <c r="AL525" s="376"/>
      <c r="AM525" s="376"/>
      <c r="AN525" s="376"/>
    </row>
    <row r="526" spans="1:40" x14ac:dyDescent="0.25">
      <c r="A526" s="376"/>
      <c r="B526" s="439"/>
      <c r="C526" s="439"/>
      <c r="D526" s="439"/>
      <c r="E526" s="376"/>
      <c r="F526" s="376"/>
      <c r="G526" s="376"/>
      <c r="AL526" s="376"/>
      <c r="AM526" s="376"/>
      <c r="AN526" s="376"/>
    </row>
    <row r="527" spans="1:40" x14ac:dyDescent="0.25">
      <c r="A527" s="376"/>
      <c r="B527" s="439"/>
      <c r="C527" s="439"/>
      <c r="D527" s="439"/>
      <c r="E527" s="376"/>
      <c r="F527" s="376"/>
      <c r="G527" s="376"/>
      <c r="AL527" s="376"/>
      <c r="AM527" s="376"/>
      <c r="AN527" s="376"/>
    </row>
    <row r="528" spans="1:40" x14ac:dyDescent="0.25">
      <c r="A528" s="376"/>
      <c r="B528" s="439"/>
      <c r="C528" s="439"/>
      <c r="D528" s="439"/>
      <c r="E528" s="376"/>
      <c r="F528" s="376"/>
      <c r="G528" s="376"/>
      <c r="AL528" s="376"/>
      <c r="AM528" s="376"/>
      <c r="AN528" s="376"/>
    </row>
    <row r="529" spans="1:40" x14ac:dyDescent="0.25">
      <c r="A529" s="376"/>
      <c r="B529" s="439"/>
      <c r="C529" s="439"/>
      <c r="D529" s="439"/>
      <c r="E529" s="376"/>
      <c r="F529" s="376"/>
      <c r="G529" s="376"/>
      <c r="AL529" s="376"/>
      <c r="AM529" s="376"/>
      <c r="AN529" s="376"/>
    </row>
    <row r="530" spans="1:40" x14ac:dyDescent="0.25">
      <c r="A530" s="376"/>
      <c r="B530" s="439"/>
      <c r="C530" s="439"/>
      <c r="D530" s="439"/>
      <c r="E530" s="376"/>
      <c r="F530" s="376"/>
      <c r="G530" s="376"/>
      <c r="AL530" s="376"/>
      <c r="AM530" s="376"/>
      <c r="AN530" s="376"/>
    </row>
    <row r="531" spans="1:40" x14ac:dyDescent="0.25">
      <c r="A531" s="376"/>
      <c r="B531" s="439"/>
      <c r="C531" s="439"/>
      <c r="D531" s="439"/>
      <c r="E531" s="376"/>
      <c r="F531" s="376"/>
      <c r="G531" s="376"/>
      <c r="AL531" s="376"/>
      <c r="AM531" s="376"/>
      <c r="AN531" s="376"/>
    </row>
    <row r="532" spans="1:40" x14ac:dyDescent="0.25">
      <c r="A532" s="376"/>
      <c r="B532" s="439"/>
      <c r="C532" s="439"/>
      <c r="D532" s="439"/>
      <c r="E532" s="376"/>
      <c r="F532" s="376"/>
      <c r="G532" s="376"/>
      <c r="AL532" s="376"/>
      <c r="AM532" s="376"/>
      <c r="AN532" s="376"/>
    </row>
    <row r="533" spans="1:40" x14ac:dyDescent="0.25">
      <c r="A533" s="376"/>
      <c r="B533" s="439"/>
      <c r="C533" s="439"/>
      <c r="D533" s="439"/>
      <c r="E533" s="376"/>
      <c r="F533" s="376"/>
      <c r="G533" s="376"/>
      <c r="AL533" s="376"/>
      <c r="AM533" s="376"/>
      <c r="AN533" s="376"/>
    </row>
    <row r="534" spans="1:40" x14ac:dyDescent="0.25">
      <c r="A534" s="376"/>
      <c r="B534" s="439"/>
      <c r="C534" s="439"/>
      <c r="D534" s="439"/>
      <c r="E534" s="376"/>
      <c r="F534" s="376"/>
      <c r="G534" s="376"/>
      <c r="AL534" s="376"/>
      <c r="AM534" s="376"/>
      <c r="AN534" s="376"/>
    </row>
    <row r="535" spans="1:40" x14ac:dyDescent="0.25">
      <c r="A535" s="376"/>
      <c r="B535" s="439"/>
      <c r="C535" s="439"/>
      <c r="D535" s="439"/>
      <c r="E535" s="376"/>
      <c r="F535" s="376"/>
      <c r="G535" s="376"/>
      <c r="AL535" s="376"/>
      <c r="AM535" s="376"/>
      <c r="AN535" s="376"/>
    </row>
    <row r="536" spans="1:40" x14ac:dyDescent="0.25">
      <c r="A536" s="376"/>
      <c r="B536" s="439"/>
      <c r="C536" s="439"/>
      <c r="D536" s="439"/>
      <c r="E536" s="376"/>
      <c r="F536" s="376"/>
      <c r="G536" s="376"/>
      <c r="AL536" s="376"/>
      <c r="AM536" s="376"/>
      <c r="AN536" s="376"/>
    </row>
    <row r="537" spans="1:40" x14ac:dyDescent="0.25">
      <c r="A537" s="376"/>
      <c r="B537" s="439"/>
      <c r="C537" s="439"/>
      <c r="D537" s="439"/>
      <c r="E537" s="376"/>
      <c r="F537" s="376"/>
      <c r="G537" s="376"/>
      <c r="AL537" s="376"/>
      <c r="AM537" s="376"/>
      <c r="AN537" s="376"/>
    </row>
    <row r="538" spans="1:40" x14ac:dyDescent="0.25">
      <c r="A538" s="376"/>
      <c r="B538" s="439"/>
      <c r="C538" s="439"/>
      <c r="D538" s="439"/>
      <c r="E538" s="376"/>
      <c r="F538" s="376"/>
      <c r="G538" s="376"/>
      <c r="AL538" s="376"/>
      <c r="AM538" s="376"/>
      <c r="AN538" s="376"/>
    </row>
    <row r="539" spans="1:40" x14ac:dyDescent="0.25">
      <c r="A539" s="376"/>
      <c r="B539" s="439"/>
      <c r="C539" s="439"/>
      <c r="D539" s="439"/>
      <c r="E539" s="376"/>
      <c r="F539" s="376"/>
      <c r="G539" s="376"/>
      <c r="AL539" s="376"/>
      <c r="AM539" s="376"/>
      <c r="AN539" s="376"/>
    </row>
    <row r="540" spans="1:40" x14ac:dyDescent="0.25">
      <c r="A540" s="376"/>
      <c r="B540" s="439"/>
      <c r="C540" s="439"/>
      <c r="D540" s="439"/>
      <c r="E540" s="376"/>
      <c r="F540" s="376"/>
      <c r="G540" s="376"/>
      <c r="AL540" s="376"/>
      <c r="AM540" s="376"/>
      <c r="AN540" s="376"/>
    </row>
    <row r="541" spans="1:40" x14ac:dyDescent="0.25">
      <c r="A541" s="376"/>
      <c r="B541" s="439"/>
      <c r="C541" s="439"/>
      <c r="D541" s="439"/>
      <c r="E541" s="376"/>
      <c r="F541" s="376"/>
      <c r="G541" s="376"/>
      <c r="AL541" s="376"/>
      <c r="AM541" s="376"/>
      <c r="AN541" s="376"/>
    </row>
    <row r="542" spans="1:40" x14ac:dyDescent="0.25">
      <c r="A542" s="376"/>
      <c r="B542" s="439"/>
      <c r="C542" s="439"/>
      <c r="D542" s="439"/>
      <c r="E542" s="376"/>
      <c r="F542" s="376"/>
      <c r="G542" s="376"/>
      <c r="AL542" s="376"/>
      <c r="AM542" s="376"/>
      <c r="AN542" s="376"/>
    </row>
    <row r="543" spans="1:40" x14ac:dyDescent="0.25">
      <c r="A543" s="376"/>
      <c r="B543" s="439"/>
      <c r="C543" s="439"/>
      <c r="D543" s="439"/>
      <c r="E543" s="376"/>
      <c r="F543" s="376"/>
      <c r="G543" s="376"/>
      <c r="AL543" s="376"/>
      <c r="AM543" s="376"/>
      <c r="AN543" s="376"/>
    </row>
    <row r="544" spans="1:40" x14ac:dyDescent="0.25">
      <c r="A544" s="376"/>
      <c r="B544" s="439"/>
      <c r="C544" s="439"/>
      <c r="D544" s="439"/>
      <c r="E544" s="376"/>
      <c r="F544" s="376"/>
      <c r="G544" s="376"/>
      <c r="AL544" s="376"/>
      <c r="AM544" s="376"/>
      <c r="AN544" s="376"/>
    </row>
    <row r="545" spans="1:40" x14ac:dyDescent="0.25">
      <c r="A545" s="376"/>
      <c r="B545" s="439"/>
      <c r="C545" s="439"/>
      <c r="D545" s="439"/>
      <c r="E545" s="376"/>
      <c r="F545" s="376"/>
      <c r="G545" s="376"/>
      <c r="AL545" s="376"/>
      <c r="AM545" s="376"/>
      <c r="AN545" s="376"/>
    </row>
    <row r="546" spans="1:40" x14ac:dyDescent="0.25">
      <c r="A546" s="376"/>
      <c r="B546" s="439"/>
      <c r="C546" s="439"/>
      <c r="D546" s="439"/>
      <c r="E546" s="376"/>
      <c r="F546" s="376"/>
      <c r="G546" s="376"/>
      <c r="AL546" s="376"/>
      <c r="AM546" s="376"/>
      <c r="AN546" s="376"/>
    </row>
    <row r="547" spans="1:40" x14ac:dyDescent="0.25">
      <c r="A547" s="376"/>
      <c r="B547" s="439"/>
      <c r="C547" s="439"/>
      <c r="D547" s="439"/>
      <c r="E547" s="376"/>
      <c r="F547" s="376"/>
      <c r="G547" s="376"/>
      <c r="AL547" s="376"/>
      <c r="AM547" s="376"/>
      <c r="AN547" s="376"/>
    </row>
    <row r="548" spans="1:40" x14ac:dyDescent="0.25">
      <c r="A548" s="376"/>
      <c r="B548" s="439"/>
      <c r="C548" s="439"/>
      <c r="D548" s="439"/>
      <c r="E548" s="376"/>
      <c r="F548" s="376"/>
      <c r="G548" s="376"/>
      <c r="AL548" s="376"/>
      <c r="AM548" s="376"/>
      <c r="AN548" s="376"/>
    </row>
    <row r="549" spans="1:40" x14ac:dyDescent="0.25">
      <c r="A549" s="376"/>
      <c r="B549" s="439"/>
      <c r="C549" s="439"/>
      <c r="D549" s="439"/>
      <c r="E549" s="376"/>
      <c r="F549" s="376"/>
      <c r="G549" s="376"/>
      <c r="AL549" s="376"/>
      <c r="AM549" s="376"/>
      <c r="AN549" s="376"/>
    </row>
    <row r="550" spans="1:40" x14ac:dyDescent="0.25">
      <c r="A550" s="376"/>
      <c r="B550" s="439"/>
      <c r="C550" s="439"/>
      <c r="D550" s="439"/>
      <c r="E550" s="376"/>
      <c r="F550" s="376"/>
      <c r="G550" s="376"/>
      <c r="AL550" s="376"/>
      <c r="AM550" s="376"/>
      <c r="AN550" s="376"/>
    </row>
    <row r="551" spans="1:40" x14ac:dyDescent="0.25">
      <c r="A551" s="376"/>
      <c r="B551" s="439"/>
      <c r="C551" s="439"/>
      <c r="D551" s="439"/>
      <c r="E551" s="376"/>
      <c r="F551" s="376"/>
      <c r="G551" s="376"/>
      <c r="AL551" s="376"/>
      <c r="AM551" s="376"/>
      <c r="AN551" s="376"/>
    </row>
    <row r="552" spans="1:40" x14ac:dyDescent="0.25">
      <c r="A552" s="376"/>
      <c r="B552" s="439"/>
      <c r="C552" s="439"/>
      <c r="D552" s="439"/>
      <c r="E552" s="376"/>
      <c r="F552" s="376"/>
      <c r="G552" s="376"/>
      <c r="AL552" s="376"/>
      <c r="AM552" s="376"/>
      <c r="AN552" s="376"/>
    </row>
    <row r="553" spans="1:40" x14ac:dyDescent="0.25">
      <c r="A553" s="376"/>
      <c r="B553" s="439"/>
      <c r="C553" s="439"/>
      <c r="D553" s="439"/>
      <c r="E553" s="376"/>
      <c r="F553" s="376"/>
      <c r="G553" s="376"/>
      <c r="AL553" s="376"/>
      <c r="AM553" s="376"/>
      <c r="AN553" s="376"/>
    </row>
    <row r="554" spans="1:40" x14ac:dyDescent="0.25">
      <c r="A554" s="376"/>
      <c r="B554" s="439"/>
      <c r="C554" s="439"/>
      <c r="D554" s="439"/>
      <c r="E554" s="376"/>
      <c r="F554" s="376"/>
      <c r="G554" s="376"/>
      <c r="AL554" s="376"/>
      <c r="AM554" s="376"/>
      <c r="AN554" s="376"/>
    </row>
    <row r="555" spans="1:40" x14ac:dyDescent="0.25">
      <c r="A555" s="376"/>
      <c r="B555" s="439"/>
      <c r="C555" s="439"/>
      <c r="D555" s="439"/>
      <c r="E555" s="376"/>
      <c r="F555" s="376"/>
      <c r="G555" s="376"/>
      <c r="AL555" s="376"/>
      <c r="AM555" s="376"/>
      <c r="AN555" s="376"/>
    </row>
    <row r="556" spans="1:40" x14ac:dyDescent="0.25">
      <c r="A556" s="376"/>
      <c r="B556" s="439"/>
      <c r="C556" s="439"/>
      <c r="D556" s="439"/>
      <c r="E556" s="376"/>
      <c r="F556" s="376"/>
      <c r="G556" s="376"/>
      <c r="AL556" s="376"/>
      <c r="AM556" s="376"/>
      <c r="AN556" s="376"/>
    </row>
    <row r="557" spans="1:40" x14ac:dyDescent="0.25">
      <c r="A557" s="376"/>
      <c r="B557" s="439"/>
      <c r="C557" s="439"/>
      <c r="D557" s="439"/>
      <c r="E557" s="376"/>
      <c r="F557" s="376"/>
      <c r="G557" s="376"/>
      <c r="AL557" s="376"/>
      <c r="AM557" s="376"/>
      <c r="AN557" s="376"/>
    </row>
    <row r="558" spans="1:40" x14ac:dyDescent="0.25">
      <c r="A558" s="376"/>
      <c r="B558" s="439"/>
      <c r="C558" s="439"/>
      <c r="D558" s="439"/>
      <c r="E558" s="376"/>
      <c r="F558" s="376"/>
      <c r="G558" s="376"/>
      <c r="AL558" s="376"/>
      <c r="AM558" s="376"/>
      <c r="AN558" s="376"/>
    </row>
    <row r="559" spans="1:40" x14ac:dyDescent="0.25">
      <c r="A559" s="376"/>
      <c r="B559" s="439"/>
      <c r="C559" s="439"/>
      <c r="D559" s="439"/>
      <c r="E559" s="376"/>
      <c r="F559" s="376"/>
      <c r="G559" s="376"/>
      <c r="AL559" s="376"/>
      <c r="AM559" s="376"/>
      <c r="AN559" s="376"/>
    </row>
    <row r="560" spans="1:40" x14ac:dyDescent="0.25">
      <c r="A560" s="376"/>
      <c r="B560" s="439"/>
      <c r="C560" s="439"/>
      <c r="D560" s="439"/>
      <c r="E560" s="376"/>
      <c r="F560" s="376"/>
      <c r="G560" s="376"/>
      <c r="AL560" s="376"/>
      <c r="AM560" s="376"/>
      <c r="AN560" s="376"/>
    </row>
    <row r="561" spans="1:40" x14ac:dyDescent="0.25">
      <c r="A561" s="376"/>
      <c r="B561" s="439"/>
      <c r="C561" s="439"/>
      <c r="D561" s="439"/>
      <c r="E561" s="376"/>
      <c r="F561" s="376"/>
      <c r="G561" s="376"/>
      <c r="AL561" s="376"/>
      <c r="AM561" s="376"/>
      <c r="AN561" s="376"/>
    </row>
    <row r="562" spans="1:40" x14ac:dyDescent="0.25">
      <c r="A562" s="376"/>
      <c r="B562" s="439"/>
      <c r="C562" s="439"/>
      <c r="D562" s="439"/>
      <c r="E562" s="376"/>
      <c r="F562" s="376"/>
      <c r="G562" s="376"/>
      <c r="AL562" s="376"/>
      <c r="AM562" s="376"/>
      <c r="AN562" s="376"/>
    </row>
    <row r="563" spans="1:40" x14ac:dyDescent="0.25">
      <c r="A563" s="376"/>
      <c r="B563" s="439"/>
      <c r="C563" s="439"/>
      <c r="D563" s="439"/>
      <c r="E563" s="376"/>
      <c r="F563" s="376"/>
      <c r="G563" s="376"/>
      <c r="AL563" s="376"/>
      <c r="AM563" s="376"/>
      <c r="AN563" s="376"/>
    </row>
    <row r="564" spans="1:40" x14ac:dyDescent="0.25">
      <c r="A564" s="376"/>
      <c r="B564" s="439"/>
      <c r="C564" s="439"/>
      <c r="D564" s="439"/>
      <c r="E564" s="376"/>
      <c r="F564" s="376"/>
      <c r="G564" s="376"/>
      <c r="AL564" s="376"/>
      <c r="AM564" s="376"/>
      <c r="AN564" s="376"/>
    </row>
    <row r="565" spans="1:40" x14ac:dyDescent="0.25">
      <c r="A565" s="376"/>
      <c r="B565" s="439"/>
      <c r="C565" s="439"/>
      <c r="D565" s="439"/>
      <c r="E565" s="376"/>
      <c r="F565" s="376"/>
      <c r="G565" s="376"/>
      <c r="AL565" s="376"/>
      <c r="AM565" s="376"/>
      <c r="AN565" s="376"/>
    </row>
    <row r="566" spans="1:40" x14ac:dyDescent="0.25">
      <c r="A566" s="376"/>
      <c r="B566" s="439"/>
      <c r="C566" s="439"/>
      <c r="D566" s="439"/>
      <c r="E566" s="376"/>
      <c r="F566" s="376"/>
      <c r="G566" s="376"/>
      <c r="AL566" s="376"/>
      <c r="AM566" s="376"/>
      <c r="AN566" s="376"/>
    </row>
    <row r="567" spans="1:40" x14ac:dyDescent="0.25">
      <c r="A567" s="376"/>
      <c r="B567" s="439"/>
      <c r="C567" s="439"/>
      <c r="D567" s="439"/>
      <c r="E567" s="376"/>
      <c r="F567" s="376"/>
      <c r="G567" s="376"/>
      <c r="AL567" s="376"/>
      <c r="AM567" s="376"/>
      <c r="AN567" s="376"/>
    </row>
    <row r="568" spans="1:40" x14ac:dyDescent="0.25">
      <c r="A568" s="376"/>
      <c r="B568" s="439"/>
      <c r="C568" s="439"/>
      <c r="D568" s="439"/>
      <c r="E568" s="376"/>
      <c r="F568" s="376"/>
      <c r="G568" s="376"/>
      <c r="AL568" s="376"/>
      <c r="AM568" s="376"/>
      <c r="AN568" s="376"/>
    </row>
    <row r="569" spans="1:40" x14ac:dyDescent="0.25">
      <c r="A569" s="376"/>
      <c r="B569" s="439"/>
      <c r="C569" s="439"/>
      <c r="D569" s="439"/>
      <c r="E569" s="376"/>
      <c r="F569" s="376"/>
      <c r="G569" s="376"/>
      <c r="AL569" s="376"/>
      <c r="AM569" s="376"/>
      <c r="AN569" s="376"/>
    </row>
    <row r="570" spans="1:40" x14ac:dyDescent="0.25">
      <c r="A570" s="376"/>
      <c r="B570" s="439"/>
      <c r="C570" s="439"/>
      <c r="D570" s="439"/>
      <c r="E570" s="376"/>
      <c r="F570" s="376"/>
      <c r="G570" s="376"/>
      <c r="AL570" s="376"/>
      <c r="AM570" s="376"/>
      <c r="AN570" s="376"/>
    </row>
    <row r="571" spans="1:40" x14ac:dyDescent="0.25">
      <c r="A571" s="376"/>
      <c r="B571" s="439"/>
      <c r="C571" s="439"/>
      <c r="D571" s="439"/>
      <c r="E571" s="376"/>
      <c r="F571" s="376"/>
      <c r="G571" s="376"/>
      <c r="AL571" s="376"/>
      <c r="AM571" s="376"/>
      <c r="AN571" s="376"/>
    </row>
    <row r="572" spans="1:40" x14ac:dyDescent="0.25">
      <c r="A572" s="376"/>
      <c r="B572" s="439"/>
      <c r="C572" s="439"/>
      <c r="D572" s="439"/>
      <c r="E572" s="376"/>
      <c r="F572" s="376"/>
      <c r="G572" s="376"/>
      <c r="AL572" s="376"/>
      <c r="AM572" s="376"/>
      <c r="AN572" s="376"/>
    </row>
    <row r="573" spans="1:40" x14ac:dyDescent="0.25">
      <c r="A573" s="376"/>
      <c r="B573" s="439"/>
      <c r="C573" s="439"/>
      <c r="D573" s="439"/>
      <c r="E573" s="376"/>
      <c r="F573" s="376"/>
      <c r="G573" s="376"/>
      <c r="AL573" s="376"/>
      <c r="AM573" s="376"/>
      <c r="AN573" s="376"/>
    </row>
    <row r="574" spans="1:40" x14ac:dyDescent="0.25">
      <c r="A574" s="376"/>
      <c r="B574" s="439"/>
      <c r="C574" s="439"/>
      <c r="D574" s="439"/>
      <c r="E574" s="376"/>
      <c r="F574" s="376"/>
      <c r="G574" s="376"/>
      <c r="AL574" s="376"/>
      <c r="AM574" s="376"/>
      <c r="AN574" s="376"/>
    </row>
    <row r="575" spans="1:40" x14ac:dyDescent="0.25">
      <c r="A575" s="376"/>
      <c r="B575" s="439"/>
      <c r="C575" s="439"/>
      <c r="D575" s="439"/>
      <c r="E575" s="376"/>
      <c r="F575" s="376"/>
      <c r="G575" s="376"/>
      <c r="AL575" s="376"/>
      <c r="AM575" s="376"/>
      <c r="AN575" s="376"/>
    </row>
    <row r="576" spans="1:40" x14ac:dyDescent="0.25">
      <c r="A576" s="376"/>
      <c r="B576" s="439"/>
      <c r="C576" s="439"/>
      <c r="D576" s="439"/>
      <c r="E576" s="376"/>
      <c r="F576" s="376"/>
      <c r="G576" s="376"/>
      <c r="AL576" s="376"/>
      <c r="AM576" s="376"/>
      <c r="AN576" s="376"/>
    </row>
    <row r="577" spans="1:40" x14ac:dyDescent="0.25">
      <c r="A577" s="376"/>
      <c r="B577" s="439"/>
      <c r="C577" s="439"/>
      <c r="D577" s="439"/>
      <c r="E577" s="376"/>
      <c r="F577" s="376"/>
      <c r="G577" s="376"/>
      <c r="AL577" s="376"/>
      <c r="AM577" s="376"/>
      <c r="AN577" s="376"/>
    </row>
    <row r="578" spans="1:40" x14ac:dyDescent="0.25">
      <c r="A578" s="376"/>
      <c r="B578" s="439"/>
      <c r="C578" s="439"/>
      <c r="D578" s="439"/>
      <c r="E578" s="376"/>
      <c r="F578" s="376"/>
      <c r="G578" s="376"/>
      <c r="AL578" s="376"/>
      <c r="AM578" s="376"/>
      <c r="AN578" s="376"/>
    </row>
    <row r="579" spans="1:40" x14ac:dyDescent="0.25">
      <c r="A579" s="376"/>
      <c r="B579" s="439"/>
      <c r="C579" s="439"/>
      <c r="D579" s="439"/>
      <c r="E579" s="376"/>
      <c r="F579" s="376"/>
      <c r="G579" s="376"/>
      <c r="AL579" s="376"/>
      <c r="AM579" s="376"/>
      <c r="AN579" s="376"/>
    </row>
    <row r="580" spans="1:40" x14ac:dyDescent="0.25">
      <c r="A580" s="376"/>
      <c r="B580" s="439"/>
      <c r="C580" s="439"/>
      <c r="D580" s="439"/>
      <c r="E580" s="376"/>
      <c r="F580" s="376"/>
      <c r="G580" s="376"/>
      <c r="AL580" s="376"/>
      <c r="AM580" s="376"/>
      <c r="AN580" s="376"/>
    </row>
    <row r="581" spans="1:40" x14ac:dyDescent="0.25">
      <c r="A581" s="376"/>
      <c r="B581" s="439"/>
      <c r="C581" s="439"/>
      <c r="D581" s="439"/>
      <c r="E581" s="376"/>
      <c r="F581" s="376"/>
      <c r="G581" s="376"/>
      <c r="AL581" s="376"/>
      <c r="AM581" s="376"/>
      <c r="AN581" s="376"/>
    </row>
    <row r="582" spans="1:40" x14ac:dyDescent="0.25">
      <c r="A582" s="376"/>
      <c r="B582" s="439"/>
      <c r="C582" s="439"/>
      <c r="D582" s="439"/>
      <c r="E582" s="376"/>
      <c r="F582" s="376"/>
      <c r="G582" s="376"/>
      <c r="AL582" s="376"/>
      <c r="AM582" s="376"/>
      <c r="AN582" s="376"/>
    </row>
    <row r="583" spans="1:40" x14ac:dyDescent="0.25">
      <c r="A583" s="376"/>
      <c r="B583" s="439"/>
      <c r="C583" s="439"/>
      <c r="D583" s="439"/>
      <c r="E583" s="376"/>
      <c r="F583" s="376"/>
      <c r="G583" s="376"/>
      <c r="AL583" s="376"/>
      <c r="AM583" s="376"/>
      <c r="AN583" s="376"/>
    </row>
    <row r="584" spans="1:40" x14ac:dyDescent="0.25">
      <c r="A584" s="376"/>
      <c r="B584" s="439"/>
      <c r="C584" s="439"/>
      <c r="D584" s="439"/>
      <c r="E584" s="376"/>
      <c r="F584" s="376"/>
      <c r="G584" s="376"/>
      <c r="AL584" s="376"/>
      <c r="AM584" s="376"/>
      <c r="AN584" s="376"/>
    </row>
    <row r="585" spans="1:40" x14ac:dyDescent="0.25">
      <c r="A585" s="376"/>
      <c r="B585" s="439"/>
      <c r="C585" s="439"/>
      <c r="D585" s="439"/>
      <c r="E585" s="376"/>
      <c r="F585" s="376"/>
      <c r="G585" s="376"/>
      <c r="AL585" s="376"/>
      <c r="AM585" s="376"/>
      <c r="AN585" s="376"/>
    </row>
    <row r="586" spans="1:40" x14ac:dyDescent="0.25">
      <c r="A586" s="376"/>
      <c r="B586" s="439"/>
      <c r="C586" s="439"/>
      <c r="D586" s="439"/>
      <c r="E586" s="376"/>
      <c r="F586" s="376"/>
      <c r="G586" s="376"/>
      <c r="AL586" s="376"/>
      <c r="AM586" s="376"/>
      <c r="AN586" s="376"/>
    </row>
    <row r="587" spans="1:40" x14ac:dyDescent="0.25">
      <c r="A587" s="376"/>
      <c r="B587" s="439"/>
      <c r="C587" s="439"/>
      <c r="D587" s="439"/>
      <c r="E587" s="376"/>
      <c r="F587" s="376"/>
      <c r="G587" s="376"/>
      <c r="AL587" s="376"/>
      <c r="AM587" s="376"/>
      <c r="AN587" s="376"/>
    </row>
    <row r="588" spans="1:40" x14ac:dyDescent="0.25">
      <c r="A588" s="376"/>
      <c r="B588" s="439"/>
      <c r="C588" s="439"/>
      <c r="D588" s="439"/>
      <c r="E588" s="376"/>
      <c r="F588" s="376"/>
      <c r="G588" s="376"/>
      <c r="AL588" s="376"/>
      <c r="AM588" s="376"/>
      <c r="AN588" s="376"/>
    </row>
    <row r="589" spans="1:40" x14ac:dyDescent="0.25">
      <c r="A589" s="376"/>
      <c r="B589" s="439"/>
      <c r="C589" s="439"/>
      <c r="D589" s="439"/>
      <c r="E589" s="376"/>
      <c r="F589" s="376"/>
      <c r="G589" s="376"/>
      <c r="AL589" s="376"/>
      <c r="AM589" s="376"/>
      <c r="AN589" s="376"/>
    </row>
    <row r="590" spans="1:40" x14ac:dyDescent="0.25">
      <c r="A590" s="376"/>
      <c r="B590" s="439"/>
      <c r="C590" s="439"/>
      <c r="D590" s="439"/>
      <c r="E590" s="376"/>
      <c r="F590" s="376"/>
      <c r="G590" s="376"/>
      <c r="AL590" s="376"/>
      <c r="AM590" s="376"/>
      <c r="AN590" s="376"/>
    </row>
    <row r="591" spans="1:40" x14ac:dyDescent="0.25">
      <c r="A591" s="376"/>
      <c r="B591" s="439"/>
      <c r="C591" s="439"/>
      <c r="D591" s="439"/>
      <c r="E591" s="376"/>
      <c r="F591" s="376"/>
      <c r="G591" s="376"/>
      <c r="AL591" s="376"/>
      <c r="AM591" s="376"/>
      <c r="AN591" s="376"/>
    </row>
    <row r="592" spans="1:40" x14ac:dyDescent="0.25">
      <c r="A592" s="376"/>
      <c r="B592" s="439"/>
      <c r="C592" s="439"/>
      <c r="D592" s="439"/>
      <c r="E592" s="376"/>
      <c r="F592" s="376"/>
      <c r="G592" s="376"/>
      <c r="AL592" s="376"/>
      <c r="AM592" s="376"/>
      <c r="AN592" s="376"/>
    </row>
    <row r="593" spans="1:40" x14ac:dyDescent="0.25">
      <c r="A593" s="376"/>
      <c r="B593" s="439"/>
      <c r="C593" s="439"/>
      <c r="D593" s="439"/>
      <c r="E593" s="376"/>
      <c r="F593" s="376"/>
      <c r="G593" s="376"/>
      <c r="AL593" s="376"/>
      <c r="AM593" s="376"/>
      <c r="AN593" s="376"/>
    </row>
    <row r="594" spans="1:40" x14ac:dyDescent="0.25">
      <c r="A594" s="376"/>
      <c r="B594" s="439"/>
      <c r="C594" s="439"/>
      <c r="D594" s="439"/>
      <c r="E594" s="376"/>
      <c r="F594" s="376"/>
      <c r="G594" s="376"/>
      <c r="AL594" s="376"/>
      <c r="AM594" s="376"/>
      <c r="AN594" s="376"/>
    </row>
    <row r="595" spans="1:40" x14ac:dyDescent="0.25">
      <c r="A595" s="376"/>
      <c r="B595" s="439"/>
      <c r="C595" s="439"/>
      <c r="D595" s="439"/>
      <c r="E595" s="376"/>
      <c r="F595" s="376"/>
      <c r="G595" s="376"/>
      <c r="AL595" s="376"/>
      <c r="AM595" s="376"/>
      <c r="AN595" s="376"/>
    </row>
    <row r="596" spans="1:40" x14ac:dyDescent="0.25">
      <c r="A596" s="376"/>
      <c r="B596" s="439"/>
      <c r="C596" s="439"/>
      <c r="D596" s="439"/>
      <c r="E596" s="376"/>
      <c r="F596" s="376"/>
      <c r="G596" s="376"/>
      <c r="AL596" s="376"/>
      <c r="AM596" s="376"/>
      <c r="AN596" s="376"/>
    </row>
    <row r="597" spans="1:40" x14ac:dyDescent="0.25">
      <c r="A597" s="376"/>
      <c r="B597" s="439"/>
      <c r="C597" s="439"/>
      <c r="D597" s="439"/>
      <c r="E597" s="376"/>
      <c r="F597" s="376"/>
      <c r="G597" s="376"/>
      <c r="AL597" s="376"/>
      <c r="AM597" s="376"/>
      <c r="AN597" s="376"/>
    </row>
    <row r="598" spans="1:40" x14ac:dyDescent="0.25">
      <c r="A598" s="376"/>
      <c r="B598" s="439"/>
      <c r="C598" s="439"/>
      <c r="D598" s="439"/>
      <c r="E598" s="376"/>
      <c r="F598" s="376"/>
      <c r="G598" s="376"/>
      <c r="AL598" s="376"/>
      <c r="AM598" s="376"/>
      <c r="AN598" s="376"/>
    </row>
    <row r="599" spans="1:40" x14ac:dyDescent="0.25">
      <c r="A599" s="376"/>
      <c r="B599" s="439"/>
      <c r="C599" s="439"/>
      <c r="D599" s="439"/>
      <c r="E599" s="376"/>
      <c r="F599" s="376"/>
      <c r="G599" s="376"/>
      <c r="AL599" s="376"/>
      <c r="AM599" s="376"/>
      <c r="AN599" s="376"/>
    </row>
    <row r="600" spans="1:40" x14ac:dyDescent="0.25">
      <c r="A600" s="376"/>
      <c r="B600" s="439"/>
      <c r="C600" s="439"/>
      <c r="D600" s="439"/>
      <c r="E600" s="376"/>
      <c r="F600" s="376"/>
      <c r="G600" s="376"/>
      <c r="AL600" s="376"/>
      <c r="AM600" s="376"/>
      <c r="AN600" s="376"/>
    </row>
    <row r="601" spans="1:40" x14ac:dyDescent="0.25">
      <c r="A601" s="376"/>
      <c r="B601" s="439"/>
      <c r="C601" s="439"/>
      <c r="D601" s="439"/>
      <c r="E601" s="376"/>
      <c r="F601" s="376"/>
      <c r="G601" s="376"/>
      <c r="AL601" s="376"/>
      <c r="AM601" s="376"/>
      <c r="AN601" s="376"/>
    </row>
    <row r="602" spans="1:40" x14ac:dyDescent="0.25">
      <c r="A602" s="376"/>
      <c r="B602" s="439"/>
      <c r="C602" s="439"/>
      <c r="D602" s="439"/>
      <c r="E602" s="376"/>
      <c r="F602" s="376"/>
      <c r="G602" s="376"/>
      <c r="AL602" s="376"/>
      <c r="AM602" s="376"/>
      <c r="AN602" s="376"/>
    </row>
    <row r="603" spans="1:40" x14ac:dyDescent="0.25">
      <c r="A603" s="376"/>
      <c r="B603" s="439"/>
      <c r="C603" s="439"/>
      <c r="D603" s="439"/>
      <c r="E603" s="376"/>
      <c r="F603" s="376"/>
      <c r="G603" s="376"/>
      <c r="AL603" s="376"/>
      <c r="AM603" s="376"/>
      <c r="AN603" s="376"/>
    </row>
    <row r="604" spans="1:40" x14ac:dyDescent="0.25">
      <c r="A604" s="376"/>
      <c r="B604" s="439"/>
      <c r="C604" s="439"/>
      <c r="D604" s="439"/>
      <c r="E604" s="376"/>
      <c r="F604" s="376"/>
      <c r="G604" s="376"/>
      <c r="AL604" s="376"/>
      <c r="AM604" s="376"/>
      <c r="AN604" s="376"/>
    </row>
    <row r="605" spans="1:40" x14ac:dyDescent="0.25">
      <c r="A605" s="376"/>
      <c r="B605" s="439"/>
      <c r="C605" s="439"/>
      <c r="D605" s="439"/>
      <c r="E605" s="376"/>
      <c r="F605" s="376"/>
      <c r="G605" s="376"/>
      <c r="AL605" s="376"/>
      <c r="AM605" s="376"/>
      <c r="AN605" s="376"/>
    </row>
    <row r="606" spans="1:40" x14ac:dyDescent="0.25">
      <c r="A606" s="376"/>
      <c r="B606" s="439"/>
      <c r="C606" s="439"/>
      <c r="D606" s="439"/>
      <c r="E606" s="376"/>
      <c r="F606" s="376"/>
      <c r="G606" s="376"/>
      <c r="AL606" s="376"/>
      <c r="AM606" s="376"/>
      <c r="AN606" s="376"/>
    </row>
    <row r="607" spans="1:40" x14ac:dyDescent="0.25">
      <c r="A607" s="376"/>
      <c r="B607" s="439"/>
      <c r="C607" s="439"/>
      <c r="D607" s="439"/>
      <c r="E607" s="376"/>
      <c r="F607" s="376"/>
      <c r="G607" s="376"/>
      <c r="AL607" s="376"/>
      <c r="AM607" s="376"/>
      <c r="AN607" s="376"/>
    </row>
    <row r="608" spans="1:40" x14ac:dyDescent="0.25">
      <c r="A608" s="376"/>
      <c r="B608" s="439"/>
      <c r="C608" s="439"/>
      <c r="D608" s="439"/>
      <c r="E608" s="376"/>
      <c r="F608" s="376"/>
      <c r="G608" s="376"/>
      <c r="AL608" s="376"/>
      <c r="AM608" s="376"/>
      <c r="AN608" s="376"/>
    </row>
    <row r="609" spans="1:40" x14ac:dyDescent="0.25">
      <c r="A609" s="376"/>
      <c r="B609" s="439"/>
      <c r="C609" s="439"/>
      <c r="D609" s="439"/>
      <c r="E609" s="376"/>
      <c r="F609" s="376"/>
      <c r="G609" s="376"/>
      <c r="AL609" s="376"/>
      <c r="AM609" s="376"/>
      <c r="AN609" s="376"/>
    </row>
    <row r="610" spans="1:40" x14ac:dyDescent="0.25">
      <c r="A610" s="376"/>
      <c r="B610" s="439"/>
      <c r="C610" s="439"/>
      <c r="D610" s="439"/>
      <c r="E610" s="376"/>
      <c r="F610" s="376"/>
      <c r="G610" s="376"/>
      <c r="AL610" s="376"/>
      <c r="AM610" s="376"/>
      <c r="AN610" s="376"/>
    </row>
    <row r="611" spans="1:40" x14ac:dyDescent="0.25">
      <c r="A611" s="376"/>
      <c r="B611" s="439"/>
      <c r="C611" s="439"/>
      <c r="D611" s="439"/>
      <c r="E611" s="376"/>
      <c r="F611" s="376"/>
      <c r="G611" s="376"/>
      <c r="AL611" s="376"/>
      <c r="AM611" s="376"/>
      <c r="AN611" s="376"/>
    </row>
    <row r="612" spans="1:40" x14ac:dyDescent="0.25">
      <c r="A612" s="376"/>
      <c r="B612" s="439"/>
      <c r="C612" s="439"/>
      <c r="D612" s="439"/>
      <c r="E612" s="376"/>
      <c r="F612" s="376"/>
      <c r="G612" s="376"/>
      <c r="AL612" s="376"/>
      <c r="AM612" s="376"/>
      <c r="AN612" s="376"/>
    </row>
    <row r="613" spans="1:40" x14ac:dyDescent="0.25">
      <c r="A613" s="376"/>
      <c r="B613" s="439"/>
      <c r="C613" s="439"/>
      <c r="D613" s="439"/>
      <c r="E613" s="376"/>
      <c r="F613" s="376"/>
      <c r="G613" s="376"/>
      <c r="AL613" s="376"/>
      <c r="AM613" s="376"/>
      <c r="AN613" s="376"/>
    </row>
    <row r="614" spans="1:40" x14ac:dyDescent="0.25">
      <c r="A614" s="376"/>
      <c r="B614" s="439"/>
      <c r="C614" s="439"/>
      <c r="D614" s="439"/>
      <c r="E614" s="376"/>
      <c r="F614" s="376"/>
      <c r="G614" s="376"/>
      <c r="AL614" s="376"/>
      <c r="AM614" s="376"/>
      <c r="AN614" s="376"/>
    </row>
    <row r="615" spans="1:40" x14ac:dyDescent="0.25">
      <c r="A615" s="376"/>
      <c r="B615" s="439"/>
      <c r="C615" s="439"/>
      <c r="D615" s="439"/>
      <c r="E615" s="376"/>
      <c r="F615" s="376"/>
      <c r="G615" s="376"/>
      <c r="AL615" s="376"/>
      <c r="AM615" s="376"/>
      <c r="AN615" s="376"/>
    </row>
    <row r="616" spans="1:40" x14ac:dyDescent="0.25">
      <c r="A616" s="376"/>
      <c r="B616" s="439"/>
      <c r="C616" s="439"/>
      <c r="D616" s="439"/>
      <c r="E616" s="376"/>
      <c r="F616" s="376"/>
      <c r="G616" s="376"/>
      <c r="AL616" s="376"/>
      <c r="AM616" s="376"/>
      <c r="AN616" s="376"/>
    </row>
    <row r="617" spans="1:40" x14ac:dyDescent="0.25">
      <c r="A617" s="376"/>
      <c r="B617" s="439"/>
      <c r="C617" s="439"/>
      <c r="D617" s="439"/>
      <c r="E617" s="376"/>
      <c r="F617" s="376"/>
      <c r="G617" s="376"/>
      <c r="AL617" s="376"/>
      <c r="AM617" s="376"/>
      <c r="AN617" s="376"/>
    </row>
    <row r="618" spans="1:40" x14ac:dyDescent="0.25">
      <c r="A618" s="376"/>
      <c r="B618" s="439"/>
      <c r="C618" s="439"/>
      <c r="D618" s="439"/>
      <c r="E618" s="376"/>
      <c r="F618" s="376"/>
      <c r="G618" s="376"/>
      <c r="AL618" s="376"/>
      <c r="AM618" s="376"/>
      <c r="AN618" s="376"/>
    </row>
    <row r="619" spans="1:40" x14ac:dyDescent="0.25">
      <c r="A619" s="376"/>
      <c r="B619" s="439"/>
      <c r="C619" s="439"/>
      <c r="D619" s="439"/>
      <c r="E619" s="376"/>
      <c r="F619" s="376"/>
      <c r="G619" s="376"/>
      <c r="AL619" s="376"/>
      <c r="AM619" s="376"/>
      <c r="AN619" s="376"/>
    </row>
    <row r="620" spans="1:40" x14ac:dyDescent="0.25">
      <c r="A620" s="376"/>
      <c r="B620" s="439"/>
      <c r="C620" s="439"/>
      <c r="D620" s="439"/>
      <c r="E620" s="376"/>
      <c r="F620" s="376"/>
      <c r="G620" s="376"/>
      <c r="AL620" s="376"/>
      <c r="AM620" s="376"/>
      <c r="AN620" s="376"/>
    </row>
    <row r="621" spans="1:40" x14ac:dyDescent="0.25">
      <c r="A621" s="376"/>
      <c r="B621" s="439"/>
      <c r="C621" s="439"/>
      <c r="D621" s="439"/>
      <c r="E621" s="376"/>
      <c r="F621" s="376"/>
      <c r="G621" s="376"/>
      <c r="AL621" s="376"/>
      <c r="AM621" s="376"/>
      <c r="AN621" s="376"/>
    </row>
    <row r="622" spans="1:40" x14ac:dyDescent="0.25">
      <c r="A622" s="376"/>
      <c r="B622" s="439"/>
      <c r="C622" s="439"/>
      <c r="D622" s="439"/>
      <c r="E622" s="376"/>
      <c r="F622" s="376"/>
      <c r="G622" s="376"/>
      <c r="AL622" s="376"/>
      <c r="AM622" s="376"/>
      <c r="AN622" s="376"/>
    </row>
    <row r="623" spans="1:40" x14ac:dyDescent="0.25">
      <c r="A623" s="376"/>
      <c r="B623" s="439"/>
      <c r="C623" s="439"/>
      <c r="D623" s="439"/>
      <c r="E623" s="376"/>
      <c r="F623" s="376"/>
      <c r="G623" s="376"/>
      <c r="AL623" s="376"/>
      <c r="AM623" s="376"/>
      <c r="AN623" s="376"/>
    </row>
    <row r="624" spans="1:40" x14ac:dyDescent="0.25">
      <c r="A624" s="376"/>
      <c r="B624" s="439"/>
      <c r="C624" s="439"/>
      <c r="D624" s="439"/>
      <c r="E624" s="376"/>
      <c r="F624" s="376"/>
      <c r="G624" s="376"/>
      <c r="AL624" s="376"/>
      <c r="AM624" s="376"/>
      <c r="AN624" s="376"/>
    </row>
    <row r="625" spans="1:40" x14ac:dyDescent="0.25">
      <c r="A625" s="376"/>
      <c r="B625" s="439"/>
      <c r="C625" s="439"/>
      <c r="D625" s="439"/>
      <c r="E625" s="376"/>
      <c r="F625" s="376"/>
      <c r="G625" s="376"/>
      <c r="AL625" s="376"/>
      <c r="AM625" s="376"/>
      <c r="AN625" s="376"/>
    </row>
    <row r="626" spans="1:40" x14ac:dyDescent="0.25">
      <c r="A626" s="376"/>
      <c r="B626" s="439"/>
      <c r="C626" s="439"/>
      <c r="D626" s="439"/>
      <c r="E626" s="376"/>
      <c r="F626" s="376"/>
      <c r="G626" s="376"/>
      <c r="AL626" s="376"/>
      <c r="AM626" s="376"/>
      <c r="AN626" s="376"/>
    </row>
    <row r="627" spans="1:40" x14ac:dyDescent="0.25">
      <c r="A627" s="376"/>
      <c r="B627" s="439"/>
      <c r="C627" s="439"/>
      <c r="D627" s="439"/>
      <c r="E627" s="376"/>
      <c r="F627" s="376"/>
      <c r="G627" s="376"/>
      <c r="AL627" s="376"/>
      <c r="AM627" s="376"/>
      <c r="AN627" s="376"/>
    </row>
    <row r="628" spans="1:40" x14ac:dyDescent="0.25">
      <c r="A628" s="376"/>
      <c r="B628" s="439"/>
      <c r="C628" s="439"/>
      <c r="D628" s="439"/>
      <c r="E628" s="376"/>
      <c r="F628" s="376"/>
      <c r="G628" s="376"/>
      <c r="AL628" s="376"/>
      <c r="AM628" s="376"/>
      <c r="AN628" s="376"/>
    </row>
    <row r="629" spans="1:40" x14ac:dyDescent="0.25">
      <c r="A629" s="376"/>
      <c r="B629" s="439"/>
      <c r="C629" s="439"/>
      <c r="D629" s="439"/>
      <c r="E629" s="376"/>
      <c r="F629" s="376"/>
      <c r="G629" s="376"/>
      <c r="AL629" s="376"/>
      <c r="AM629" s="376"/>
      <c r="AN629" s="376"/>
    </row>
    <row r="630" spans="1:40" x14ac:dyDescent="0.25">
      <c r="A630" s="376"/>
      <c r="B630" s="439"/>
      <c r="C630" s="439"/>
      <c r="D630" s="439"/>
      <c r="E630" s="376"/>
      <c r="F630" s="376"/>
      <c r="G630" s="376"/>
      <c r="AL630" s="376"/>
      <c r="AM630" s="376"/>
      <c r="AN630" s="376"/>
    </row>
    <row r="631" spans="1:40" x14ac:dyDescent="0.25">
      <c r="A631" s="376"/>
      <c r="B631" s="439"/>
      <c r="C631" s="439"/>
      <c r="D631" s="439"/>
      <c r="E631" s="376"/>
      <c r="F631" s="376"/>
      <c r="G631" s="376"/>
      <c r="AL631" s="376"/>
      <c r="AM631" s="376"/>
      <c r="AN631" s="376"/>
    </row>
    <row r="632" spans="1:40" x14ac:dyDescent="0.25">
      <c r="A632" s="376"/>
      <c r="B632" s="439"/>
      <c r="C632" s="439"/>
      <c r="D632" s="439"/>
      <c r="E632" s="376"/>
      <c r="F632" s="376"/>
      <c r="G632" s="376"/>
      <c r="AL632" s="376"/>
      <c r="AM632" s="376"/>
      <c r="AN632" s="376"/>
    </row>
    <row r="633" spans="1:40" x14ac:dyDescent="0.25">
      <c r="A633" s="376"/>
      <c r="B633" s="439"/>
      <c r="C633" s="439"/>
      <c r="D633" s="439"/>
      <c r="E633" s="376"/>
      <c r="F633" s="376"/>
      <c r="G633" s="376"/>
      <c r="AL633" s="376"/>
      <c r="AM633" s="376"/>
      <c r="AN633" s="376"/>
    </row>
    <row r="634" spans="1:40" x14ac:dyDescent="0.25">
      <c r="A634" s="376"/>
      <c r="B634" s="439"/>
      <c r="C634" s="439"/>
      <c r="D634" s="439"/>
      <c r="E634" s="376"/>
      <c r="F634" s="376"/>
      <c r="G634" s="376"/>
      <c r="AL634" s="376"/>
      <c r="AM634" s="376"/>
      <c r="AN634" s="376"/>
    </row>
    <row r="635" spans="1:40" x14ac:dyDescent="0.25">
      <c r="A635" s="376"/>
      <c r="B635" s="439"/>
      <c r="C635" s="439"/>
      <c r="D635" s="439"/>
      <c r="E635" s="376"/>
      <c r="F635" s="376"/>
      <c r="G635" s="376"/>
      <c r="AL635" s="376"/>
      <c r="AM635" s="376"/>
      <c r="AN635" s="376"/>
    </row>
    <row r="636" spans="1:40" x14ac:dyDescent="0.25">
      <c r="A636" s="376"/>
      <c r="B636" s="439"/>
      <c r="C636" s="439"/>
      <c r="D636" s="439"/>
      <c r="E636" s="376"/>
      <c r="F636" s="376"/>
      <c r="G636" s="376"/>
      <c r="AL636" s="376"/>
      <c r="AM636" s="376"/>
      <c r="AN636" s="376"/>
    </row>
    <row r="637" spans="1:40" x14ac:dyDescent="0.25">
      <c r="A637" s="376"/>
      <c r="B637" s="439"/>
      <c r="C637" s="439"/>
      <c r="D637" s="439"/>
      <c r="E637" s="376"/>
      <c r="F637" s="376"/>
      <c r="G637" s="376"/>
      <c r="AL637" s="376"/>
      <c r="AM637" s="376"/>
      <c r="AN637" s="376"/>
    </row>
    <row r="638" spans="1:40" x14ac:dyDescent="0.25">
      <c r="A638" s="376"/>
      <c r="B638" s="439"/>
      <c r="C638" s="439"/>
      <c r="D638" s="439"/>
      <c r="E638" s="376"/>
      <c r="F638" s="376"/>
      <c r="G638" s="376"/>
      <c r="AL638" s="376"/>
      <c r="AM638" s="376"/>
      <c r="AN638" s="376"/>
    </row>
    <row r="639" spans="1:40" x14ac:dyDescent="0.25">
      <c r="A639" s="376"/>
      <c r="B639" s="439"/>
      <c r="C639" s="439"/>
      <c r="D639" s="439"/>
      <c r="E639" s="376"/>
      <c r="F639" s="376"/>
      <c r="G639" s="376"/>
      <c r="AL639" s="376"/>
      <c r="AM639" s="376"/>
      <c r="AN639" s="376"/>
    </row>
    <row r="640" spans="1:40" x14ac:dyDescent="0.25">
      <c r="A640" s="376"/>
      <c r="B640" s="439"/>
      <c r="C640" s="439"/>
      <c r="D640" s="439"/>
      <c r="E640" s="376"/>
      <c r="F640" s="376"/>
      <c r="G640" s="376"/>
      <c r="AL640" s="376"/>
      <c r="AM640" s="376"/>
      <c r="AN640" s="376"/>
    </row>
    <row r="641" spans="1:40" x14ac:dyDescent="0.25">
      <c r="A641" s="376"/>
      <c r="B641" s="439"/>
      <c r="C641" s="439"/>
      <c r="D641" s="439"/>
      <c r="E641" s="376"/>
      <c r="F641" s="376"/>
      <c r="G641" s="376"/>
      <c r="AL641" s="376"/>
      <c r="AM641" s="376"/>
      <c r="AN641" s="376"/>
    </row>
    <row r="642" spans="1:40" x14ac:dyDescent="0.25">
      <c r="A642" s="376"/>
      <c r="B642" s="439"/>
      <c r="C642" s="439"/>
      <c r="D642" s="439"/>
      <c r="E642" s="376"/>
      <c r="F642" s="376"/>
      <c r="G642" s="376"/>
      <c r="AL642" s="376"/>
      <c r="AM642" s="376"/>
      <c r="AN642" s="376"/>
    </row>
    <row r="643" spans="1:40" x14ac:dyDescent="0.25">
      <c r="A643" s="376"/>
      <c r="B643" s="439"/>
      <c r="C643" s="439"/>
      <c r="D643" s="439"/>
      <c r="E643" s="376"/>
      <c r="F643" s="376"/>
      <c r="G643" s="376"/>
      <c r="AL643" s="376"/>
      <c r="AM643" s="376"/>
      <c r="AN643" s="376"/>
    </row>
    <row r="644" spans="1:40" x14ac:dyDescent="0.25">
      <c r="A644" s="376"/>
      <c r="B644" s="439"/>
      <c r="C644" s="439"/>
      <c r="D644" s="439"/>
      <c r="E644" s="376"/>
      <c r="F644" s="376"/>
      <c r="G644" s="376"/>
      <c r="AL644" s="376"/>
      <c r="AM644" s="376"/>
      <c r="AN644" s="376"/>
    </row>
    <row r="645" spans="1:40" x14ac:dyDescent="0.25">
      <c r="A645" s="376"/>
      <c r="B645" s="439"/>
      <c r="C645" s="439"/>
      <c r="D645" s="439"/>
      <c r="E645" s="376"/>
      <c r="F645" s="376"/>
      <c r="G645" s="376"/>
      <c r="AL645" s="376"/>
      <c r="AM645" s="376"/>
      <c r="AN645" s="376"/>
    </row>
    <row r="646" spans="1:40" x14ac:dyDescent="0.25">
      <c r="A646" s="376"/>
      <c r="B646" s="439"/>
      <c r="C646" s="439"/>
      <c r="D646" s="439"/>
      <c r="E646" s="376"/>
      <c r="F646" s="376"/>
      <c r="G646" s="376"/>
      <c r="AL646" s="376"/>
      <c r="AM646" s="376"/>
      <c r="AN646" s="376"/>
    </row>
    <row r="647" spans="1:40" x14ac:dyDescent="0.25">
      <c r="A647" s="376"/>
      <c r="B647" s="439"/>
      <c r="C647" s="439"/>
      <c r="D647" s="439"/>
      <c r="E647" s="376"/>
      <c r="F647" s="376"/>
      <c r="G647" s="376"/>
      <c r="AL647" s="376"/>
      <c r="AM647" s="376"/>
      <c r="AN647" s="376"/>
    </row>
    <row r="648" spans="1:40" x14ac:dyDescent="0.25">
      <c r="A648" s="376"/>
      <c r="B648" s="439"/>
      <c r="C648" s="439"/>
      <c r="D648" s="439"/>
      <c r="E648" s="376"/>
      <c r="F648" s="376"/>
      <c r="G648" s="376"/>
      <c r="AL648" s="376"/>
      <c r="AM648" s="376"/>
      <c r="AN648" s="376"/>
    </row>
    <row r="649" spans="1:40" x14ac:dyDescent="0.25">
      <c r="A649" s="376"/>
      <c r="B649" s="439"/>
      <c r="C649" s="439"/>
      <c r="D649" s="439"/>
      <c r="E649" s="376"/>
      <c r="F649" s="376"/>
      <c r="G649" s="376"/>
      <c r="AL649" s="376"/>
      <c r="AM649" s="376"/>
      <c r="AN649" s="376"/>
    </row>
    <row r="650" spans="1:40" x14ac:dyDescent="0.25">
      <c r="A650" s="376"/>
      <c r="B650" s="439"/>
      <c r="C650" s="439"/>
      <c r="D650" s="439"/>
      <c r="E650" s="376"/>
      <c r="F650" s="376"/>
      <c r="G650" s="376"/>
      <c r="AL650" s="376"/>
      <c r="AM650" s="376"/>
      <c r="AN650" s="376"/>
    </row>
    <row r="651" spans="1:40" x14ac:dyDescent="0.25">
      <c r="A651" s="376"/>
      <c r="B651" s="439"/>
      <c r="C651" s="439"/>
      <c r="D651" s="439"/>
      <c r="E651" s="376"/>
      <c r="F651" s="376"/>
      <c r="G651" s="376"/>
      <c r="AL651" s="376"/>
      <c r="AM651" s="376"/>
      <c r="AN651" s="376"/>
    </row>
    <row r="652" spans="1:40" x14ac:dyDescent="0.25">
      <c r="A652" s="376"/>
      <c r="B652" s="439"/>
      <c r="C652" s="439"/>
      <c r="D652" s="439"/>
      <c r="E652" s="376"/>
      <c r="F652" s="376"/>
      <c r="G652" s="376"/>
      <c r="AL652" s="376"/>
      <c r="AM652" s="376"/>
      <c r="AN652" s="376"/>
    </row>
    <row r="653" spans="1:40" x14ac:dyDescent="0.25">
      <c r="A653" s="376"/>
      <c r="B653" s="439"/>
      <c r="C653" s="439"/>
      <c r="D653" s="439"/>
      <c r="E653" s="376"/>
      <c r="F653" s="376"/>
      <c r="G653" s="376"/>
      <c r="AL653" s="376"/>
      <c r="AM653" s="376"/>
      <c r="AN653" s="376"/>
    </row>
    <row r="654" spans="1:40" x14ac:dyDescent="0.25">
      <c r="A654" s="376"/>
      <c r="B654" s="439"/>
      <c r="C654" s="439"/>
      <c r="D654" s="439"/>
      <c r="E654" s="376"/>
      <c r="F654" s="376"/>
      <c r="G654" s="376"/>
      <c r="AL654" s="376"/>
      <c r="AM654" s="376"/>
      <c r="AN654" s="376"/>
    </row>
    <row r="655" spans="1:40" x14ac:dyDescent="0.25">
      <c r="A655" s="376"/>
      <c r="B655" s="439"/>
      <c r="C655" s="439"/>
      <c r="D655" s="439"/>
      <c r="E655" s="376"/>
      <c r="F655" s="376"/>
      <c r="G655" s="376"/>
      <c r="AL655" s="376"/>
      <c r="AM655" s="376"/>
      <c r="AN655" s="376"/>
    </row>
    <row r="656" spans="1:40" x14ac:dyDescent="0.25">
      <c r="A656" s="376"/>
      <c r="B656" s="439"/>
      <c r="C656" s="439"/>
      <c r="D656" s="439"/>
      <c r="E656" s="376"/>
      <c r="F656" s="376"/>
      <c r="G656" s="376"/>
      <c r="AL656" s="376"/>
      <c r="AM656" s="376"/>
      <c r="AN656" s="376"/>
    </row>
    <row r="657" spans="1:40" x14ac:dyDescent="0.25">
      <c r="A657" s="376"/>
      <c r="B657" s="439"/>
      <c r="C657" s="439"/>
      <c r="D657" s="439"/>
      <c r="E657" s="376"/>
      <c r="F657" s="376"/>
      <c r="G657" s="376"/>
      <c r="AL657" s="376"/>
      <c r="AM657" s="376"/>
      <c r="AN657" s="376"/>
    </row>
    <row r="658" spans="1:40" x14ac:dyDescent="0.25">
      <c r="A658" s="376"/>
      <c r="B658" s="439"/>
      <c r="C658" s="439"/>
      <c r="D658" s="439"/>
      <c r="E658" s="376"/>
      <c r="F658" s="376"/>
      <c r="G658" s="376"/>
      <c r="AL658" s="376"/>
      <c r="AM658" s="376"/>
      <c r="AN658" s="376"/>
    </row>
    <row r="659" spans="1:40" x14ac:dyDescent="0.25">
      <c r="A659" s="376"/>
      <c r="B659" s="439"/>
      <c r="C659" s="439"/>
      <c r="D659" s="439"/>
      <c r="E659" s="376"/>
      <c r="F659" s="376"/>
      <c r="G659" s="376"/>
      <c r="AL659" s="376"/>
      <c r="AM659" s="376"/>
      <c r="AN659" s="376"/>
    </row>
    <row r="660" spans="1:40" x14ac:dyDescent="0.25">
      <c r="A660" s="376"/>
      <c r="B660" s="439"/>
      <c r="C660" s="439"/>
      <c r="D660" s="439"/>
      <c r="E660" s="376"/>
      <c r="F660" s="376"/>
      <c r="G660" s="376"/>
      <c r="AL660" s="376"/>
      <c r="AM660" s="376"/>
      <c r="AN660" s="376"/>
    </row>
    <row r="661" spans="1:40" x14ac:dyDescent="0.25">
      <c r="A661" s="376"/>
      <c r="B661" s="439"/>
      <c r="C661" s="439"/>
      <c r="D661" s="439"/>
      <c r="E661" s="376"/>
      <c r="F661" s="376"/>
      <c r="G661" s="376"/>
      <c r="AL661" s="376"/>
      <c r="AM661" s="376"/>
      <c r="AN661" s="376"/>
    </row>
    <row r="662" spans="1:40" x14ac:dyDescent="0.25">
      <c r="A662" s="376"/>
      <c r="B662" s="439"/>
      <c r="C662" s="439"/>
      <c r="D662" s="439"/>
      <c r="E662" s="376"/>
      <c r="F662" s="376"/>
      <c r="G662" s="376"/>
      <c r="AL662" s="376"/>
      <c r="AM662" s="376"/>
      <c r="AN662" s="376"/>
    </row>
    <row r="663" spans="1:40" x14ac:dyDescent="0.25">
      <c r="A663" s="376"/>
      <c r="B663" s="439"/>
      <c r="C663" s="439"/>
      <c r="D663" s="439"/>
      <c r="E663" s="376"/>
      <c r="F663" s="376"/>
      <c r="G663" s="376"/>
      <c r="AL663" s="376"/>
      <c r="AM663" s="376"/>
      <c r="AN663" s="376"/>
    </row>
    <row r="664" spans="1:40" x14ac:dyDescent="0.25">
      <c r="A664" s="376"/>
      <c r="B664" s="439"/>
      <c r="C664" s="439"/>
      <c r="D664" s="439"/>
      <c r="E664" s="376"/>
      <c r="F664" s="376"/>
      <c r="G664" s="376"/>
      <c r="AL664" s="376"/>
      <c r="AM664" s="376"/>
      <c r="AN664" s="376"/>
    </row>
    <row r="665" spans="1:40" x14ac:dyDescent="0.25">
      <c r="A665" s="376"/>
      <c r="B665" s="439"/>
      <c r="C665" s="439"/>
      <c r="D665" s="439"/>
      <c r="E665" s="376"/>
      <c r="F665" s="376"/>
      <c r="G665" s="376"/>
      <c r="AL665" s="376"/>
      <c r="AM665" s="376"/>
      <c r="AN665" s="376"/>
    </row>
    <row r="666" spans="1:40" x14ac:dyDescent="0.25">
      <c r="A666" s="376"/>
      <c r="B666" s="439"/>
      <c r="C666" s="439"/>
      <c r="D666" s="439"/>
      <c r="E666" s="376"/>
      <c r="F666" s="376"/>
      <c r="G666" s="376"/>
      <c r="AL666" s="376"/>
      <c r="AM666" s="376"/>
      <c r="AN666" s="376"/>
    </row>
  </sheetData>
  <phoneticPr fontId="26" type="noConversion"/>
  <hyperlinks>
    <hyperlink ref="AC15" r:id="rId1"/>
    <hyperlink ref="AC459" r:id="rId2"/>
    <hyperlink ref="AC171" r:id="rId3"/>
    <hyperlink ref="AC279" r:id="rId4"/>
    <hyperlink ref="AC123" r:id="rId5"/>
    <hyperlink ref="AC99" r:id="rId6"/>
    <hyperlink ref="AC111" r:id="rId7"/>
    <hyperlink ref="AC135" r:id="rId8"/>
    <hyperlink ref="AC291" r:id="rId9"/>
    <hyperlink ref="AC147" r:id="rId10"/>
    <hyperlink ref="AC399" r:id="rId11"/>
    <hyperlink ref="AC303" r:id="rId12" location="MOESM247" display="https://www.nature.com/articles/ngeo2635 - MOESM247"/>
    <hyperlink ref="AC267" r:id="rId13"/>
    <hyperlink ref="AC315" r:id="rId14" location="data/RFN" display="http://www.fao.org/faostat/en/ - data/RFN"/>
    <hyperlink ref="AC39" r:id="rId15" location="data/FBS" display="http://www.fao.org/faostat/en/ - data/FBS"/>
    <hyperlink ref="AC27" r:id="rId16" location="data/FBS"/>
    <hyperlink ref="AC3" r:id="rId17" location="data/FS" display="http://www.fao.org/faostat/en/ - data/FS"/>
    <hyperlink ref="AC63" r:id="rId18" location="data/EL" display="http://www.fao.org/faostat/en/ - data/EL"/>
    <hyperlink ref="AC435" r:id="rId19"/>
    <hyperlink ref="AC423" r:id="rId20"/>
    <hyperlink ref="AC483" r:id="rId21"/>
    <hyperlink ref="AD171" r:id="rId22"/>
    <hyperlink ref="AD339" r:id="rId23"/>
    <hyperlink ref="AE339" r:id="rId24"/>
    <hyperlink ref="AD183" r:id="rId25"/>
    <hyperlink ref="AC327" r:id="rId26" location="data/RFN" display="http://www.fao.org/faostat/en/ - data/RFN"/>
    <hyperlink ref="AE375" r:id="rId27"/>
    <hyperlink ref="AD327" r:id="rId28"/>
    <hyperlink ref="AD315" r:id="rId29"/>
    <hyperlink ref="AD459" r:id="rId30" location="data/RL" display="http://www.fao.org/faostat/en/ - data/RL"/>
    <hyperlink ref="AC75" r:id="rId31"/>
    <hyperlink ref="AC87" r:id="rId32"/>
    <hyperlink ref="AC195" r:id="rId33"/>
    <hyperlink ref="AC207" r:id="rId34"/>
    <hyperlink ref="AC219" r:id="rId35"/>
    <hyperlink ref="AC231" r:id="rId36"/>
    <hyperlink ref="AC243" r:id="rId37"/>
    <hyperlink ref="AC255" r:id="rId38"/>
    <hyperlink ref="AC471" r:id="rId39"/>
    <hyperlink ref="AD423" r:id="rId40"/>
    <hyperlink ref="AD435" r:id="rId41"/>
    <hyperlink ref="AC447" r:id="rId42"/>
    <hyperlink ref="AD291" r:id="rId43"/>
    <hyperlink ref="AC351" r:id="rId44" location="data/GT" display="data/GT"/>
    <hyperlink ref="AC387" r:id="rId45" location="data/GT" display="data/GT"/>
    <hyperlink ref="AC363" r:id="rId46" location="data/GT" display="data/GT"/>
    <hyperlink ref="AC375" r:id="rId47" location="data/GT" display="data/GT"/>
    <hyperlink ref="AC411" r:id="rId48"/>
    <hyperlink ref="AD207" r:id="rId49"/>
    <hyperlink ref="AD195" r:id="rId50"/>
    <hyperlink ref="AF339" r:id="rId51"/>
    <hyperlink ref="AC51" r:id="rId52" location="data/FBS" display="http://www.fao.org/faostat/en/ - data/FBS"/>
    <hyperlink ref="AC159" r:id="rId53"/>
  </hyperlinks>
  <pageMargins left="0.7" right="0.7" top="0.75" bottom="0.75" header="0.3" footer="0.3"/>
  <pageSetup paperSize="9" orientation="portrait" horizontalDpi="1200" verticalDpi="1200" r:id="rId54"/>
  <tableParts count="1">
    <tablePart r:id="rId55"/>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2"/>
  <sheetViews>
    <sheetView topLeftCell="E1" zoomScale="80" zoomScaleNormal="80" workbookViewId="0">
      <selection activeCell="Q42" sqref="Q42"/>
    </sheetView>
  </sheetViews>
  <sheetFormatPr defaultColWidth="9" defaultRowHeight="15" x14ac:dyDescent="0.25"/>
  <cols>
    <col min="1" max="1" width="10" style="252" customWidth="1"/>
    <col min="2" max="2" width="68" style="252" customWidth="1"/>
    <col min="3" max="3" width="39.28515625" style="252" customWidth="1"/>
    <col min="4" max="4" width="26.85546875" style="252" customWidth="1"/>
    <col min="5" max="5" width="18.42578125" style="249" customWidth="1"/>
    <col min="6" max="6" width="20.85546875" style="249" bestFit="1" customWidth="1"/>
    <col min="7" max="10" width="20.85546875" style="249" customWidth="1"/>
    <col min="11" max="17" width="20.85546875" style="376" customWidth="1"/>
    <col min="18" max="18" width="20.85546875" style="249" customWidth="1"/>
    <col min="19" max="16384" width="9" style="30"/>
  </cols>
  <sheetData>
    <row r="1" spans="1:20" ht="45" x14ac:dyDescent="0.25">
      <c r="A1" s="277" t="s">
        <v>526</v>
      </c>
      <c r="B1" s="275" t="s">
        <v>468</v>
      </c>
      <c r="C1" s="275" t="s">
        <v>408</v>
      </c>
      <c r="D1" s="275" t="s">
        <v>1143</v>
      </c>
      <c r="E1" s="275" t="s">
        <v>1047</v>
      </c>
      <c r="F1" s="275" t="s">
        <v>1059</v>
      </c>
      <c r="G1" s="275" t="s">
        <v>1048</v>
      </c>
      <c r="H1" s="275" t="s">
        <v>1049</v>
      </c>
      <c r="I1" s="275" t="s">
        <v>1146</v>
      </c>
      <c r="J1" s="275" t="s">
        <v>1147</v>
      </c>
      <c r="K1" s="394" t="s">
        <v>1145</v>
      </c>
      <c r="L1" s="394" t="s">
        <v>1432</v>
      </c>
      <c r="M1" s="394" t="s">
        <v>1148</v>
      </c>
      <c r="N1" s="394" t="s">
        <v>1149</v>
      </c>
      <c r="O1" s="394" t="s">
        <v>1150</v>
      </c>
      <c r="P1" s="394" t="s">
        <v>1433</v>
      </c>
      <c r="Q1" s="394" t="s">
        <v>1151</v>
      </c>
      <c r="R1" s="275" t="s">
        <v>1152</v>
      </c>
      <c r="S1" s="466" t="s">
        <v>1153</v>
      </c>
      <c r="T1" s="466" t="s">
        <v>1434</v>
      </c>
    </row>
    <row r="2" spans="1:20" x14ac:dyDescent="0.25">
      <c r="A2" s="270" t="s">
        <v>856</v>
      </c>
      <c r="B2" s="197" t="s">
        <v>999</v>
      </c>
      <c r="C2" s="197" t="s">
        <v>473</v>
      </c>
      <c r="D2" s="197" t="s">
        <v>904</v>
      </c>
      <c r="E2" s="248">
        <v>2015</v>
      </c>
      <c r="F2" s="248">
        <v>121</v>
      </c>
      <c r="G2" s="248">
        <v>2015</v>
      </c>
      <c r="H2" s="248">
        <v>136.83000000000001</v>
      </c>
      <c r="I2" s="248">
        <v>100</v>
      </c>
      <c r="J2" s="248">
        <v>90</v>
      </c>
      <c r="K2" s="375">
        <v>80</v>
      </c>
      <c r="L2" s="375">
        <v>70</v>
      </c>
      <c r="M2" s="375">
        <v>100</v>
      </c>
      <c r="N2" s="375">
        <v>95</v>
      </c>
      <c r="O2" s="375">
        <v>85</v>
      </c>
      <c r="P2" s="375">
        <v>75</v>
      </c>
      <c r="Q2" s="375">
        <v>100</v>
      </c>
      <c r="R2" s="248">
        <v>95</v>
      </c>
      <c r="S2" s="465">
        <v>90</v>
      </c>
      <c r="T2" s="465">
        <v>80</v>
      </c>
    </row>
    <row r="3" spans="1:20" x14ac:dyDescent="0.25">
      <c r="A3" s="270" t="s">
        <v>534</v>
      </c>
      <c r="B3" s="197" t="s">
        <v>538</v>
      </c>
      <c r="C3" s="197" t="s">
        <v>539</v>
      </c>
      <c r="D3" s="197" t="s">
        <v>904</v>
      </c>
      <c r="E3" s="248">
        <v>2015</v>
      </c>
      <c r="F3" s="248">
        <v>3.93876965715413</v>
      </c>
      <c r="G3" s="248">
        <v>2015</v>
      </c>
      <c r="H3" s="248">
        <v>4.0354200000000002</v>
      </c>
      <c r="I3" s="248">
        <v>6.7281759999999995</v>
      </c>
      <c r="J3" s="248">
        <v>5.3817979999999999</v>
      </c>
      <c r="K3" s="375">
        <v>4.708609</v>
      </c>
      <c r="L3" s="375">
        <v>4.0354200000000002</v>
      </c>
      <c r="M3" s="375">
        <v>9.6116799999999998</v>
      </c>
      <c r="N3" s="375">
        <v>6.82355</v>
      </c>
      <c r="O3" s="375">
        <v>5.4294849999999997</v>
      </c>
      <c r="P3" s="375">
        <v>4.0354200000000002</v>
      </c>
      <c r="Q3" s="375">
        <v>12.495184000000002</v>
      </c>
      <c r="R3" s="248">
        <v>8.2653020000000019</v>
      </c>
      <c r="S3" s="375">
        <v>6.1503610000000002</v>
      </c>
      <c r="T3" s="375">
        <v>4.0354200000000002</v>
      </c>
    </row>
    <row r="4" spans="1:20" x14ac:dyDescent="0.25">
      <c r="A4" s="270" t="s">
        <v>535</v>
      </c>
      <c r="B4" s="197" t="s">
        <v>509</v>
      </c>
      <c r="C4" s="197" t="s">
        <v>1613</v>
      </c>
      <c r="D4" s="197" t="s">
        <v>904</v>
      </c>
      <c r="E4" s="248">
        <v>2015</v>
      </c>
      <c r="F4" s="248">
        <v>6.5796020000000004</v>
      </c>
      <c r="G4" s="248">
        <v>2015</v>
      </c>
      <c r="H4" s="248">
        <v>7.5308200000000003</v>
      </c>
      <c r="I4" s="248">
        <v>8.7508706600000004</v>
      </c>
      <c r="J4" s="248">
        <v>8.1408453300000012</v>
      </c>
      <c r="K4" s="375">
        <v>7.8358326649999999</v>
      </c>
      <c r="L4" s="375">
        <v>7.5308200000000003</v>
      </c>
      <c r="M4" s="375">
        <v>10.5273632</v>
      </c>
      <c r="N4" s="375">
        <v>9.029091600000001</v>
      </c>
      <c r="O4" s="375">
        <v>8.2799557999999998</v>
      </c>
      <c r="P4" s="375">
        <v>7.5308200000000003</v>
      </c>
      <c r="Q4" s="375">
        <v>12.1722637</v>
      </c>
      <c r="R4" s="248">
        <v>9.8515418500000003</v>
      </c>
      <c r="S4" s="375">
        <v>8.6911809250000012</v>
      </c>
      <c r="T4" s="375">
        <v>7.5308200000000003</v>
      </c>
    </row>
    <row r="5" spans="1:20" x14ac:dyDescent="0.25">
      <c r="A5" s="270" t="s">
        <v>536</v>
      </c>
      <c r="B5" s="197" t="s">
        <v>508</v>
      </c>
      <c r="C5" s="197" t="s">
        <v>1613</v>
      </c>
      <c r="D5" s="197" t="s">
        <v>904</v>
      </c>
      <c r="E5" s="248">
        <v>2015</v>
      </c>
      <c r="F5" s="248">
        <v>0.32424599999999998</v>
      </c>
      <c r="G5" s="248">
        <v>2015</v>
      </c>
      <c r="H5" s="248">
        <v>0.37923099999999998</v>
      </c>
      <c r="I5" s="248">
        <v>0.44421701999999996</v>
      </c>
      <c r="J5" s="248">
        <v>0.41172400999999997</v>
      </c>
      <c r="K5" s="375">
        <v>0.39547750500000001</v>
      </c>
      <c r="L5" s="375">
        <v>0.37923099999999998</v>
      </c>
      <c r="M5" s="375">
        <v>0.53500590000000003</v>
      </c>
      <c r="N5" s="375">
        <v>0.45711845000000001</v>
      </c>
      <c r="O5" s="375">
        <v>0.41817472499999997</v>
      </c>
      <c r="P5" s="375">
        <v>0.37923099999999998</v>
      </c>
      <c r="Q5" s="375">
        <v>0.62903723999999994</v>
      </c>
      <c r="R5" s="248">
        <v>0.50413412000000002</v>
      </c>
      <c r="S5" s="375">
        <v>0.44168255999999995</v>
      </c>
      <c r="T5" s="375">
        <v>0.37923099999999998</v>
      </c>
    </row>
    <row r="6" spans="1:20" x14ac:dyDescent="0.25">
      <c r="A6" s="270" t="s">
        <v>1559</v>
      </c>
      <c r="B6" s="197" t="s">
        <v>1610</v>
      </c>
      <c r="C6" s="197" t="s">
        <v>1613</v>
      </c>
      <c r="D6" s="197" t="s">
        <v>904</v>
      </c>
      <c r="E6" s="248">
        <v>2015</v>
      </c>
      <c r="F6" s="421">
        <v>6.903848</v>
      </c>
      <c r="G6" s="248">
        <v>2015</v>
      </c>
      <c r="H6" s="248">
        <v>7.91005</v>
      </c>
      <c r="I6" s="248">
        <v>9.2511563199999998</v>
      </c>
      <c r="J6" s="248">
        <v>8.580603159999999</v>
      </c>
      <c r="K6" s="375">
        <v>8.2453265800000004</v>
      </c>
      <c r="L6" s="375">
        <v>7.91005</v>
      </c>
      <c r="M6" s="375">
        <v>11.046156799999999</v>
      </c>
      <c r="N6" s="375">
        <v>9.4781033999999984</v>
      </c>
      <c r="O6" s="375">
        <v>8.6940767000000001</v>
      </c>
      <c r="P6" s="375">
        <v>7.91005</v>
      </c>
      <c r="Q6" s="375">
        <v>12.772118799999999</v>
      </c>
      <c r="R6" s="248">
        <v>10.3410844</v>
      </c>
      <c r="S6" s="375">
        <v>9.125567199999999</v>
      </c>
      <c r="T6" s="375">
        <v>7.91005</v>
      </c>
    </row>
    <row r="7" spans="1:20" x14ac:dyDescent="0.25">
      <c r="A7" s="270" t="s">
        <v>942</v>
      </c>
      <c r="B7" s="197" t="s">
        <v>1067</v>
      </c>
      <c r="C7" s="197" t="s">
        <v>191</v>
      </c>
      <c r="D7" s="197" t="s">
        <v>904</v>
      </c>
      <c r="E7" s="248">
        <v>2015</v>
      </c>
      <c r="F7" s="248">
        <v>0.36919999999999997</v>
      </c>
      <c r="G7" s="248">
        <v>2015</v>
      </c>
      <c r="H7" s="248">
        <v>0.36729400000000001</v>
      </c>
      <c r="I7" s="248">
        <v>0.33227999999999996</v>
      </c>
      <c r="J7" s="248">
        <v>0.34978699999999996</v>
      </c>
      <c r="K7" s="375">
        <v>0.35854049999999998</v>
      </c>
      <c r="L7" s="375">
        <v>0.36729400000000001</v>
      </c>
      <c r="M7" s="375">
        <v>0.29535999999999996</v>
      </c>
      <c r="N7" s="375">
        <v>0.33132699999999998</v>
      </c>
      <c r="O7" s="375">
        <v>0.34931049999999997</v>
      </c>
      <c r="P7" s="375">
        <v>0.36729400000000001</v>
      </c>
      <c r="Q7" s="375">
        <v>0.25844</v>
      </c>
      <c r="R7" s="248">
        <v>0.31286700000000001</v>
      </c>
      <c r="S7" s="375">
        <v>0.34008050000000001</v>
      </c>
      <c r="T7" s="375">
        <v>0.36729400000000001</v>
      </c>
    </row>
    <row r="8" spans="1:20" x14ac:dyDescent="0.25">
      <c r="A8" s="270" t="s">
        <v>967</v>
      </c>
      <c r="B8" s="197" t="s">
        <v>29</v>
      </c>
      <c r="C8" s="197" t="s">
        <v>965</v>
      </c>
      <c r="D8" s="197" t="s">
        <v>1083</v>
      </c>
      <c r="E8" s="248">
        <v>2020</v>
      </c>
      <c r="F8" s="248">
        <v>3419.1779999999999</v>
      </c>
      <c r="G8" s="248">
        <v>2015</v>
      </c>
      <c r="H8" s="248">
        <v>3265.56</v>
      </c>
      <c r="I8" s="248">
        <v>3077.2601999999997</v>
      </c>
      <c r="J8" s="248">
        <v>3171.4101000000001</v>
      </c>
      <c r="K8" s="375">
        <v>3218.4850499999998</v>
      </c>
      <c r="L8" s="375">
        <v>3265.56</v>
      </c>
      <c r="M8" s="375">
        <v>2735.3424</v>
      </c>
      <c r="N8" s="375">
        <v>3000.4512</v>
      </c>
      <c r="O8" s="375">
        <v>3133.0056</v>
      </c>
      <c r="P8" s="375">
        <v>3265.56</v>
      </c>
      <c r="Q8" s="375">
        <v>2393.4246000000003</v>
      </c>
      <c r="R8" s="248">
        <v>2829.4922999999999</v>
      </c>
      <c r="S8" s="375">
        <v>3047.5261500000001</v>
      </c>
      <c r="T8" s="375">
        <v>3265.56</v>
      </c>
    </row>
    <row r="9" spans="1:20" x14ac:dyDescent="0.25">
      <c r="A9" s="270" t="s">
        <v>968</v>
      </c>
      <c r="B9" s="197" t="s">
        <v>27</v>
      </c>
      <c r="C9" s="197" t="s">
        <v>965</v>
      </c>
      <c r="D9" s="197" t="s">
        <v>1083</v>
      </c>
      <c r="E9" s="248">
        <v>2020</v>
      </c>
      <c r="F9" s="248">
        <v>1618.385</v>
      </c>
      <c r="G9" s="248">
        <v>2015</v>
      </c>
      <c r="H9" s="248">
        <v>1597.23</v>
      </c>
      <c r="I9" s="248">
        <v>1456.5464999999999</v>
      </c>
      <c r="J9" s="248">
        <v>1526.88825</v>
      </c>
      <c r="K9" s="375">
        <v>1562.059125</v>
      </c>
      <c r="L9" s="375">
        <v>1597.23</v>
      </c>
      <c r="M9" s="375">
        <v>1294.7080000000001</v>
      </c>
      <c r="N9" s="375">
        <v>1445.9690000000001</v>
      </c>
      <c r="O9" s="375">
        <v>1521.5995</v>
      </c>
      <c r="P9" s="375">
        <v>1597.23</v>
      </c>
      <c r="Q9" s="375">
        <v>1132.8695</v>
      </c>
      <c r="R9" s="248">
        <v>1365.0497500000001</v>
      </c>
      <c r="S9" s="375">
        <v>1481.1398750000001</v>
      </c>
      <c r="T9" s="375">
        <v>1597.23</v>
      </c>
    </row>
    <row r="10" spans="1:20" x14ac:dyDescent="0.25">
      <c r="A10" s="270" t="s">
        <v>549</v>
      </c>
      <c r="B10" s="197" t="s">
        <v>547</v>
      </c>
      <c r="C10" s="197" t="s">
        <v>219</v>
      </c>
      <c r="D10" s="197" t="s">
        <v>904</v>
      </c>
      <c r="E10" s="248">
        <v>2016</v>
      </c>
      <c r="F10" s="248">
        <v>72.180484340000007</v>
      </c>
      <c r="G10" s="248">
        <v>2015</v>
      </c>
      <c r="H10" s="248">
        <v>69.800200000000004</v>
      </c>
      <c r="I10" s="248">
        <v>75.451829266800004</v>
      </c>
      <c r="J10" s="248">
        <v>72.626014633400004</v>
      </c>
      <c r="K10" s="375">
        <v>71.213107316700004</v>
      </c>
      <c r="L10" s="375">
        <v>69.800200000000004</v>
      </c>
      <c r="M10" s="375">
        <v>83.835365851999995</v>
      </c>
      <c r="N10" s="375">
        <v>76.817782926000007</v>
      </c>
      <c r="O10" s="375">
        <v>73.308991462999998</v>
      </c>
      <c r="P10" s="375">
        <v>69.800200000000004</v>
      </c>
      <c r="Q10" s="375">
        <v>92.218902437200001</v>
      </c>
      <c r="R10" s="248">
        <v>81.009551218599995</v>
      </c>
      <c r="S10" s="375">
        <v>75.404875609300007</v>
      </c>
      <c r="T10" s="375">
        <v>69.800200000000004</v>
      </c>
    </row>
    <row r="11" spans="1:20" x14ac:dyDescent="0.25">
      <c r="A11" s="270" t="s">
        <v>550</v>
      </c>
      <c r="B11" s="197" t="s">
        <v>548</v>
      </c>
      <c r="C11" s="197" t="s">
        <v>191</v>
      </c>
      <c r="D11" s="197" t="s">
        <v>904</v>
      </c>
      <c r="E11" s="248">
        <v>2016</v>
      </c>
      <c r="F11" s="248">
        <v>0.72699999999999998</v>
      </c>
      <c r="G11" s="248">
        <v>2015</v>
      </c>
      <c r="H11" s="248">
        <v>0.70096099999999995</v>
      </c>
      <c r="I11" s="248">
        <v>0.84960000000000002</v>
      </c>
      <c r="J11" s="248">
        <v>0.77528050000000004</v>
      </c>
      <c r="K11" s="375">
        <v>0.73812074999999999</v>
      </c>
      <c r="L11" s="375">
        <v>0.70096099999999995</v>
      </c>
      <c r="M11" s="375">
        <v>0.94399999999999995</v>
      </c>
      <c r="N11" s="375">
        <v>0.82248049999999995</v>
      </c>
      <c r="O11" s="375">
        <v>0.76172074999999995</v>
      </c>
      <c r="P11" s="375">
        <v>0.70096099999999995</v>
      </c>
      <c r="Q11" s="375">
        <v>1</v>
      </c>
      <c r="R11" s="248">
        <v>0.85048049999999997</v>
      </c>
      <c r="S11" s="375">
        <v>0.77572074999999996</v>
      </c>
      <c r="T11" s="375">
        <v>0.70096099999999995</v>
      </c>
    </row>
    <row r="12" spans="1:20" x14ac:dyDescent="0.25">
      <c r="A12" s="270" t="s">
        <v>556</v>
      </c>
      <c r="B12" s="197" t="s">
        <v>552</v>
      </c>
      <c r="C12" s="197" t="s">
        <v>1617</v>
      </c>
      <c r="D12" s="197" t="s">
        <v>904</v>
      </c>
      <c r="E12" s="248">
        <v>2016</v>
      </c>
      <c r="F12" s="248">
        <v>43.364129249999998</v>
      </c>
      <c r="G12" s="248">
        <v>2015</v>
      </c>
      <c r="H12" s="248">
        <v>43.362400000000001</v>
      </c>
      <c r="I12" s="248">
        <v>27.552399999999999</v>
      </c>
      <c r="J12" s="248">
        <v>35.4574</v>
      </c>
      <c r="K12" s="375">
        <v>39.4099</v>
      </c>
      <c r="L12" s="375">
        <v>43.362400000000001</v>
      </c>
      <c r="M12" s="375">
        <v>13.776199999999999</v>
      </c>
      <c r="N12" s="375">
        <v>28.569299999999998</v>
      </c>
      <c r="O12" s="375">
        <v>35.965850000000003</v>
      </c>
      <c r="P12" s="375">
        <v>43.362400000000001</v>
      </c>
      <c r="Q12" s="375">
        <v>0</v>
      </c>
      <c r="R12" s="248">
        <v>21.6812</v>
      </c>
      <c r="S12" s="375">
        <v>32.521799999999999</v>
      </c>
      <c r="T12" s="375">
        <v>43.362400000000001</v>
      </c>
    </row>
    <row r="13" spans="1:20" x14ac:dyDescent="0.25">
      <c r="A13" s="270" t="s">
        <v>566</v>
      </c>
      <c r="B13" s="197" t="s">
        <v>562</v>
      </c>
      <c r="C13" s="197" t="s">
        <v>1600</v>
      </c>
      <c r="D13" s="197" t="s">
        <v>904</v>
      </c>
      <c r="E13" s="248">
        <v>2016</v>
      </c>
      <c r="F13" s="248">
        <v>8.4</v>
      </c>
      <c r="G13" s="248">
        <v>2015</v>
      </c>
      <c r="H13" s="248">
        <v>9.6007999999999996</v>
      </c>
      <c r="I13" s="248">
        <v>13.440000000000001</v>
      </c>
      <c r="J13" s="248">
        <v>11.5204</v>
      </c>
      <c r="K13" s="375">
        <v>10.560600000000001</v>
      </c>
      <c r="L13" s="375">
        <v>9.6007999999999996</v>
      </c>
      <c r="M13" s="375">
        <v>14.784000000000002</v>
      </c>
      <c r="N13" s="375">
        <v>12.192400000000001</v>
      </c>
      <c r="O13" s="375">
        <v>10.896599999999999</v>
      </c>
      <c r="P13" s="375">
        <v>9.6007999999999996</v>
      </c>
      <c r="Q13" s="375">
        <v>16.128</v>
      </c>
      <c r="R13" s="248">
        <v>12.8644</v>
      </c>
      <c r="S13" s="375">
        <v>11.2326</v>
      </c>
      <c r="T13" s="375">
        <v>9.6007999999999996</v>
      </c>
    </row>
    <row r="14" spans="1:20" x14ac:dyDescent="0.25">
      <c r="A14" s="270" t="s">
        <v>560</v>
      </c>
      <c r="B14" s="197" t="s">
        <v>561</v>
      </c>
      <c r="C14" s="197" t="s">
        <v>473</v>
      </c>
      <c r="D14" s="197" t="s">
        <v>799</v>
      </c>
      <c r="E14" s="248">
        <v>2017</v>
      </c>
      <c r="F14" s="248">
        <v>43.73</v>
      </c>
      <c r="G14" s="248">
        <v>2015</v>
      </c>
      <c r="H14" s="248">
        <v>17.450500000000002</v>
      </c>
      <c r="I14" s="248">
        <v>60.862000000000002</v>
      </c>
      <c r="J14" s="248">
        <v>39.15625</v>
      </c>
      <c r="K14" s="375">
        <v>28.303375000000003</v>
      </c>
      <c r="L14" s="375">
        <v>17.450500000000002</v>
      </c>
      <c r="M14" s="375">
        <v>73.034400000000005</v>
      </c>
      <c r="N14" s="375">
        <v>45.242450000000005</v>
      </c>
      <c r="O14" s="375">
        <v>31.346475000000002</v>
      </c>
      <c r="P14" s="375">
        <v>17.450500000000002</v>
      </c>
      <c r="Q14" s="375">
        <v>91.293000000000006</v>
      </c>
      <c r="R14" s="248">
        <v>54.371750000000006</v>
      </c>
      <c r="S14" s="375">
        <v>35.911124999999998</v>
      </c>
      <c r="T14" s="375">
        <v>17.450500000000002</v>
      </c>
    </row>
    <row r="15" spans="1:20" x14ac:dyDescent="0.25">
      <c r="A15" s="270" t="s">
        <v>1574</v>
      </c>
      <c r="B15" s="197" t="s">
        <v>1571</v>
      </c>
      <c r="C15" s="197" t="s">
        <v>191</v>
      </c>
      <c r="D15" s="197" t="s">
        <v>904</v>
      </c>
      <c r="E15" s="248">
        <v>2015</v>
      </c>
      <c r="F15" s="248">
        <v>1.1168868466398623</v>
      </c>
      <c r="G15" s="248">
        <v>2015</v>
      </c>
      <c r="H15" s="248">
        <v>1.04756</v>
      </c>
      <c r="I15" s="248">
        <v>1</v>
      </c>
      <c r="J15" s="248">
        <v>0.9</v>
      </c>
      <c r="K15" s="375">
        <v>0.8</v>
      </c>
      <c r="L15" s="375">
        <v>0.7</v>
      </c>
      <c r="M15" s="375">
        <v>1</v>
      </c>
      <c r="N15" s="375">
        <v>0.93</v>
      </c>
      <c r="O15" s="375">
        <v>0.85</v>
      </c>
      <c r="P15" s="375">
        <v>0.75</v>
      </c>
      <c r="Q15" s="375">
        <v>1</v>
      </c>
      <c r="R15" s="248">
        <v>0.96</v>
      </c>
      <c r="S15" s="375">
        <v>0.9</v>
      </c>
      <c r="T15" s="375">
        <v>0.8</v>
      </c>
    </row>
    <row r="16" spans="1:20" x14ac:dyDescent="0.25">
      <c r="A16" s="271" t="s">
        <v>735</v>
      </c>
      <c r="B16" s="173" t="s">
        <v>1080</v>
      </c>
      <c r="C16" s="173" t="s">
        <v>473</v>
      </c>
      <c r="D16" s="197" t="s">
        <v>904</v>
      </c>
      <c r="E16" s="248">
        <v>2017</v>
      </c>
      <c r="F16" s="248">
        <v>4.099519130252979</v>
      </c>
      <c r="G16" s="248">
        <v>2015</v>
      </c>
      <c r="H16" s="411">
        <v>7.0504899999999999</v>
      </c>
      <c r="I16" s="248">
        <v>17</v>
      </c>
      <c r="J16" s="248">
        <v>12.025245</v>
      </c>
      <c r="K16" s="375">
        <v>9.5378675000000008</v>
      </c>
      <c r="L16" s="375">
        <v>7.0504899999999999</v>
      </c>
      <c r="M16" s="375">
        <v>51</v>
      </c>
      <c r="N16" s="375">
        <v>29.025245000000002</v>
      </c>
      <c r="O16" s="375">
        <v>18.037867500000001</v>
      </c>
      <c r="P16" s="375">
        <v>7.0504899999999999</v>
      </c>
      <c r="Q16" s="375">
        <v>85</v>
      </c>
      <c r="R16" s="411">
        <v>46.025244999999998</v>
      </c>
      <c r="S16" s="375">
        <v>26.537867500000001</v>
      </c>
      <c r="T16" s="375">
        <v>7.0504899999999999</v>
      </c>
    </row>
    <row r="17" spans="1:20" x14ac:dyDescent="0.25">
      <c r="A17" s="271" t="s">
        <v>736</v>
      </c>
      <c r="B17" s="173" t="s">
        <v>1078</v>
      </c>
      <c r="C17" s="173" t="s">
        <v>473</v>
      </c>
      <c r="D17" s="197" t="s">
        <v>904</v>
      </c>
      <c r="E17" s="248">
        <v>2014</v>
      </c>
      <c r="F17" s="248">
        <v>95.900480869747014</v>
      </c>
      <c r="G17" s="248">
        <v>2015</v>
      </c>
      <c r="H17" s="248">
        <v>83.576099999999997</v>
      </c>
      <c r="I17" s="248">
        <v>76</v>
      </c>
      <c r="J17" s="248">
        <v>79.788049999999998</v>
      </c>
      <c r="K17" s="375">
        <v>81.682074999999998</v>
      </c>
      <c r="L17" s="375">
        <v>83.576099999999997</v>
      </c>
      <c r="M17" s="375">
        <v>49</v>
      </c>
      <c r="N17" s="375">
        <v>66.288049999999998</v>
      </c>
      <c r="O17" s="375">
        <v>74.932074999999998</v>
      </c>
      <c r="P17" s="375">
        <v>83.576099999999997</v>
      </c>
      <c r="Q17" s="375">
        <v>15</v>
      </c>
      <c r="R17" s="248">
        <v>49.288049999999998</v>
      </c>
      <c r="S17" s="375">
        <v>66.432074999999998</v>
      </c>
      <c r="T17" s="375">
        <v>83.576099999999997</v>
      </c>
    </row>
    <row r="18" spans="1:20" x14ac:dyDescent="0.25">
      <c r="A18" s="271" t="s">
        <v>953</v>
      </c>
      <c r="B18" s="173" t="s">
        <v>21</v>
      </c>
      <c r="C18" s="173" t="s">
        <v>959</v>
      </c>
      <c r="D18" s="197" t="s">
        <v>1084</v>
      </c>
      <c r="E18" s="248">
        <v>2020</v>
      </c>
      <c r="F18" s="248">
        <v>0.29909999999999998</v>
      </c>
      <c r="G18" s="248">
        <v>2015</v>
      </c>
      <c r="H18" s="248">
        <v>2.51701</v>
      </c>
      <c r="I18" s="248">
        <v>3.5</v>
      </c>
      <c r="J18" s="248">
        <v>3.008505</v>
      </c>
      <c r="K18" s="375">
        <v>2.7627575000000002</v>
      </c>
      <c r="L18" s="375">
        <v>2.51701</v>
      </c>
      <c r="M18" s="375">
        <v>29.439</v>
      </c>
      <c r="N18" s="375">
        <v>15.978005</v>
      </c>
      <c r="O18" s="375">
        <v>9.2475075000000011</v>
      </c>
      <c r="P18" s="375">
        <v>2.51701</v>
      </c>
      <c r="Q18" s="375">
        <v>117.854</v>
      </c>
      <c r="R18" s="248">
        <v>60.185504999999999</v>
      </c>
      <c r="S18" s="375">
        <v>31.351257499999999</v>
      </c>
      <c r="T18" s="375">
        <v>2.51701</v>
      </c>
    </row>
    <row r="19" spans="1:20" x14ac:dyDescent="0.25">
      <c r="A19" s="271" t="s">
        <v>954</v>
      </c>
      <c r="B19" s="173" t="s">
        <v>22</v>
      </c>
      <c r="C19" s="173" t="s">
        <v>959</v>
      </c>
      <c r="D19" s="197" t="s">
        <v>1084</v>
      </c>
      <c r="E19" s="248">
        <v>2020</v>
      </c>
      <c r="F19" s="248">
        <v>1.1954</v>
      </c>
      <c r="G19" s="248">
        <v>2015</v>
      </c>
      <c r="H19" s="248">
        <v>0.84623700000000002</v>
      </c>
      <c r="I19" s="248">
        <v>11.9</v>
      </c>
      <c r="J19" s="248">
        <v>6.3731185000000004</v>
      </c>
      <c r="K19" s="375">
        <v>3.6096777499999999</v>
      </c>
      <c r="L19" s="375">
        <v>0.84623700000000002</v>
      </c>
      <c r="M19" s="375">
        <v>24.614999999999998</v>
      </c>
      <c r="N19" s="375">
        <v>12.7306185</v>
      </c>
      <c r="O19" s="375">
        <v>6.7884277500000003</v>
      </c>
      <c r="P19" s="375">
        <v>0.84623700000000002</v>
      </c>
      <c r="Q19" s="375">
        <v>84.51</v>
      </c>
      <c r="R19" s="248">
        <v>42.678118500000004</v>
      </c>
      <c r="S19" s="375">
        <v>21.762177749999999</v>
      </c>
      <c r="T19" s="375">
        <v>0.84623700000000002</v>
      </c>
    </row>
    <row r="20" spans="1:20" x14ac:dyDescent="0.25">
      <c r="A20" s="271" t="s">
        <v>955</v>
      </c>
      <c r="B20" s="173" t="s">
        <v>23</v>
      </c>
      <c r="C20" s="173" t="s">
        <v>959</v>
      </c>
      <c r="D20" s="197" t="s">
        <v>1083</v>
      </c>
      <c r="E20" s="248">
        <v>2020</v>
      </c>
      <c r="F20" s="248">
        <v>42.6177957241024</v>
      </c>
      <c r="G20" s="248">
        <v>2015</v>
      </c>
      <c r="H20" s="248">
        <v>23.1904</v>
      </c>
      <c r="I20" s="248">
        <v>85.235591448204801</v>
      </c>
      <c r="J20" s="248">
        <v>54.212995724102399</v>
      </c>
      <c r="K20" s="375">
        <v>38.701697862051205</v>
      </c>
      <c r="L20" s="375">
        <v>23.1904</v>
      </c>
      <c r="M20" s="375">
        <v>127.85338717230721</v>
      </c>
      <c r="N20" s="375">
        <v>75.52189358615361</v>
      </c>
      <c r="O20" s="375">
        <v>49.356146793076803</v>
      </c>
      <c r="P20" s="375">
        <v>23.1904</v>
      </c>
      <c r="Q20" s="375">
        <v>170.4711828964096</v>
      </c>
      <c r="R20" s="248">
        <v>96.830791448204792</v>
      </c>
      <c r="S20" s="375">
        <v>60.010595724102402</v>
      </c>
      <c r="T20" s="375">
        <v>23.1904</v>
      </c>
    </row>
    <row r="21" spans="1:20" x14ac:dyDescent="0.25">
      <c r="A21" s="271" t="s">
        <v>956</v>
      </c>
      <c r="B21" s="173" t="s">
        <v>24</v>
      </c>
      <c r="C21" s="173" t="s">
        <v>959</v>
      </c>
      <c r="D21" s="197" t="s">
        <v>1085</v>
      </c>
      <c r="E21" s="248">
        <v>2020</v>
      </c>
      <c r="F21" s="248">
        <v>195</v>
      </c>
      <c r="G21" s="248">
        <v>2015</v>
      </c>
      <c r="H21" s="248">
        <v>185.86600000000001</v>
      </c>
      <c r="I21" s="248">
        <v>136.5</v>
      </c>
      <c r="J21" s="248">
        <v>161.18299999999999</v>
      </c>
      <c r="K21" s="375">
        <v>173.52450000000002</v>
      </c>
      <c r="L21" s="375">
        <v>185.86600000000001</v>
      </c>
      <c r="M21" s="375">
        <v>97.5</v>
      </c>
      <c r="N21" s="375">
        <v>141.68299999999999</v>
      </c>
      <c r="O21" s="375">
        <v>163.77450000000002</v>
      </c>
      <c r="P21" s="375">
        <v>185.86600000000001</v>
      </c>
      <c r="Q21" s="375">
        <v>0</v>
      </c>
      <c r="R21" s="248">
        <v>92.933000000000007</v>
      </c>
      <c r="S21" s="375">
        <v>139.39950000000002</v>
      </c>
      <c r="T21" s="375">
        <v>185.86600000000001</v>
      </c>
    </row>
    <row r="22" spans="1:20" x14ac:dyDescent="0.25">
      <c r="A22" s="271" t="s">
        <v>957</v>
      </c>
      <c r="B22" s="173" t="s">
        <v>25</v>
      </c>
      <c r="C22" s="173" t="s">
        <v>959</v>
      </c>
      <c r="D22" s="197" t="s">
        <v>1086</v>
      </c>
      <c r="E22" s="248">
        <v>2020</v>
      </c>
      <c r="F22" s="248">
        <v>152.18899999999999</v>
      </c>
      <c r="G22" s="248">
        <v>2015</v>
      </c>
      <c r="H22" s="248">
        <v>149.126</v>
      </c>
      <c r="I22" s="248">
        <v>106.53229999999999</v>
      </c>
      <c r="J22" s="248">
        <v>127.82915</v>
      </c>
      <c r="K22" s="375">
        <v>138.477575</v>
      </c>
      <c r="L22" s="375">
        <v>149.126</v>
      </c>
      <c r="M22" s="375">
        <v>76.094499999999996</v>
      </c>
      <c r="N22" s="375">
        <v>112.61025000000001</v>
      </c>
      <c r="O22" s="375">
        <v>130.86812499999999</v>
      </c>
      <c r="P22" s="375">
        <v>149.126</v>
      </c>
      <c r="Q22" s="375">
        <v>0</v>
      </c>
      <c r="R22" s="248">
        <v>74.563000000000002</v>
      </c>
      <c r="S22" s="375">
        <v>111.84450000000001</v>
      </c>
      <c r="T22" s="375">
        <v>149.126</v>
      </c>
    </row>
    <row r="23" spans="1:20" x14ac:dyDescent="0.25">
      <c r="A23" s="271" t="s">
        <v>958</v>
      </c>
      <c r="B23" s="173" t="s">
        <v>26</v>
      </c>
      <c r="C23" s="173" t="s">
        <v>959</v>
      </c>
      <c r="D23" s="197" t="s">
        <v>1083</v>
      </c>
      <c r="E23" s="248">
        <v>2020</v>
      </c>
      <c r="F23" s="248">
        <v>143.77099999999999</v>
      </c>
      <c r="G23" s="248">
        <v>2015</v>
      </c>
      <c r="H23" s="248">
        <v>133.85599999999999</v>
      </c>
      <c r="I23" s="248">
        <v>71.885499999999993</v>
      </c>
      <c r="J23" s="248">
        <v>102.87074999999999</v>
      </c>
      <c r="K23" s="375">
        <v>118.36337499999999</v>
      </c>
      <c r="L23" s="375">
        <v>133.85599999999999</v>
      </c>
      <c r="M23" s="375">
        <v>43.131299999999996</v>
      </c>
      <c r="N23" s="375">
        <v>88.493650000000002</v>
      </c>
      <c r="O23" s="375">
        <v>111.174825</v>
      </c>
      <c r="P23" s="375">
        <v>133.85599999999999</v>
      </c>
      <c r="Q23" s="375">
        <v>0</v>
      </c>
      <c r="R23" s="248">
        <v>66.927999999999997</v>
      </c>
      <c r="S23" s="375">
        <v>100.392</v>
      </c>
      <c r="T23" s="375">
        <v>133.85599999999999</v>
      </c>
    </row>
    <row r="24" spans="1:20" x14ac:dyDescent="0.25">
      <c r="A24" s="271" t="s">
        <v>571</v>
      </c>
      <c r="B24" s="437" t="s">
        <v>1581</v>
      </c>
      <c r="C24" s="173" t="s">
        <v>843</v>
      </c>
      <c r="D24" s="197" t="s">
        <v>904</v>
      </c>
      <c r="E24" s="248">
        <v>2015</v>
      </c>
      <c r="F24" s="248">
        <v>5.1313796829999996</v>
      </c>
      <c r="G24" s="248">
        <v>2015</v>
      </c>
      <c r="H24" s="248">
        <v>6.41913</v>
      </c>
      <c r="I24" s="248">
        <v>3.8485347622499999</v>
      </c>
      <c r="J24" s="248">
        <v>5.133832381125</v>
      </c>
      <c r="K24" s="375">
        <v>5.7764811905624995</v>
      </c>
      <c r="L24" s="375">
        <v>6.41913</v>
      </c>
      <c r="M24" s="375">
        <v>2.5656898414999998</v>
      </c>
      <c r="N24" s="375">
        <v>4.4924099207500001</v>
      </c>
      <c r="O24" s="375">
        <v>5.4557699603750001</v>
      </c>
      <c r="P24" s="375">
        <v>6.41913</v>
      </c>
      <c r="Q24" s="375">
        <v>1.0262759366</v>
      </c>
      <c r="R24" s="248">
        <v>3.7227029683000001</v>
      </c>
      <c r="S24" s="375">
        <v>5.0709164841500005</v>
      </c>
      <c r="T24" s="375">
        <v>6.41913</v>
      </c>
    </row>
    <row r="25" spans="1:20" x14ac:dyDescent="0.25">
      <c r="A25" s="271" t="s">
        <v>527</v>
      </c>
      <c r="B25" s="437" t="s">
        <v>1582</v>
      </c>
      <c r="C25" s="173" t="s">
        <v>582</v>
      </c>
      <c r="D25" s="197" t="s">
        <v>904</v>
      </c>
      <c r="E25" s="248">
        <v>2016</v>
      </c>
      <c r="F25" s="248">
        <v>10.2580066199183</v>
      </c>
      <c r="G25" s="248">
        <v>2015</v>
      </c>
      <c r="H25" s="248">
        <v>10.837199999999999</v>
      </c>
      <c r="I25" s="248">
        <v>22.98</v>
      </c>
      <c r="J25" s="248">
        <v>16.9086</v>
      </c>
      <c r="K25" s="375">
        <v>13.8729</v>
      </c>
      <c r="L25" s="375">
        <v>10.837199999999999</v>
      </c>
      <c r="M25" s="375">
        <v>42.511000000000003</v>
      </c>
      <c r="N25" s="375">
        <v>26.674100000000003</v>
      </c>
      <c r="O25" s="375">
        <v>18.755649999999999</v>
      </c>
      <c r="P25" s="375">
        <v>10.837199999999999</v>
      </c>
      <c r="Q25" s="375">
        <v>139.797</v>
      </c>
      <c r="R25" s="248">
        <v>75.317099999999996</v>
      </c>
      <c r="S25" s="375">
        <v>43.077150000000003</v>
      </c>
      <c r="T25" s="375">
        <v>10.837199999999999</v>
      </c>
    </row>
    <row r="26" spans="1:20" x14ac:dyDescent="0.25">
      <c r="A26" s="271" t="s">
        <v>760</v>
      </c>
      <c r="B26" s="437" t="s">
        <v>1583</v>
      </c>
      <c r="C26" s="173" t="s">
        <v>759</v>
      </c>
      <c r="D26" s="197" t="s">
        <v>904</v>
      </c>
      <c r="E26" s="248">
        <v>2014</v>
      </c>
      <c r="F26" s="248">
        <v>0.48960813019935201</v>
      </c>
      <c r="G26" s="248">
        <v>2015</v>
      </c>
      <c r="H26" s="248">
        <v>0.44845499999999999</v>
      </c>
      <c r="I26" s="248">
        <v>0.244804065099676</v>
      </c>
      <c r="J26" s="248">
        <v>0.34662953254983797</v>
      </c>
      <c r="K26" s="375">
        <v>0.39754226627491901</v>
      </c>
      <c r="L26" s="375">
        <v>0.44845499999999999</v>
      </c>
      <c r="M26" s="375">
        <v>9.7921626039870369E-2</v>
      </c>
      <c r="N26" s="375">
        <v>0.27318831301993518</v>
      </c>
      <c r="O26" s="375">
        <v>0.36082165650996756</v>
      </c>
      <c r="P26" s="375">
        <v>0.44845499999999999</v>
      </c>
      <c r="Q26" s="375">
        <v>0</v>
      </c>
      <c r="R26" s="248">
        <v>0.2242275</v>
      </c>
      <c r="S26" s="375">
        <v>0.33634124999999998</v>
      </c>
      <c r="T26" s="375">
        <v>0.44845499999999999</v>
      </c>
    </row>
    <row r="27" spans="1:20" x14ac:dyDescent="0.25">
      <c r="A27" s="271" t="s">
        <v>597</v>
      </c>
      <c r="B27" s="173" t="s">
        <v>820</v>
      </c>
      <c r="C27" s="173" t="s">
        <v>818</v>
      </c>
      <c r="D27" s="197" t="s">
        <v>1090</v>
      </c>
      <c r="E27" s="248">
        <v>2016</v>
      </c>
      <c r="F27" s="248">
        <v>9.0589999999999993</v>
      </c>
      <c r="G27" s="248">
        <v>2015</v>
      </c>
      <c r="H27" s="248">
        <v>9.5529799999999998</v>
      </c>
      <c r="I27" s="248">
        <v>8</v>
      </c>
      <c r="J27" s="248">
        <v>8.776489999999999</v>
      </c>
      <c r="K27" s="375">
        <v>9.1647350000000003</v>
      </c>
      <c r="L27" s="375">
        <v>9.5529799999999998</v>
      </c>
      <c r="M27" s="375">
        <v>4</v>
      </c>
      <c r="N27" s="375">
        <v>6.7764899999999999</v>
      </c>
      <c r="O27" s="375">
        <v>8.1647350000000003</v>
      </c>
      <c r="P27" s="375">
        <v>9.5529799999999998</v>
      </c>
      <c r="Q27" s="375">
        <v>1.6</v>
      </c>
      <c r="R27" s="248">
        <v>5.5764899999999997</v>
      </c>
      <c r="S27" s="375">
        <v>7.5647349999999998</v>
      </c>
      <c r="T27" s="375">
        <v>9.5529799999999998</v>
      </c>
    </row>
    <row r="28" spans="1:20" x14ac:dyDescent="0.25">
      <c r="A28" s="271" t="s">
        <v>598</v>
      </c>
      <c r="B28" s="173" t="s">
        <v>829</v>
      </c>
      <c r="C28" s="173" t="s">
        <v>1614</v>
      </c>
      <c r="D28" s="197" t="s">
        <v>904</v>
      </c>
      <c r="E28" s="248">
        <v>2015</v>
      </c>
      <c r="F28" s="248">
        <v>106.3302</v>
      </c>
      <c r="G28" s="248">
        <v>2015</v>
      </c>
      <c r="H28" s="248">
        <v>119.23099999999999</v>
      </c>
      <c r="I28" s="248">
        <v>95.697180000000003</v>
      </c>
      <c r="J28" s="248">
        <v>107.46409</v>
      </c>
      <c r="K28" s="375">
        <v>113.347545</v>
      </c>
      <c r="L28" s="375">
        <v>119.23099999999999</v>
      </c>
      <c r="M28" s="375">
        <v>85.064160000000001</v>
      </c>
      <c r="N28" s="375">
        <v>102.14758</v>
      </c>
      <c r="O28" s="375">
        <v>110.68929</v>
      </c>
      <c r="P28" s="375">
        <v>119.23099999999999</v>
      </c>
      <c r="Q28" s="375">
        <v>74.431139999999999</v>
      </c>
      <c r="R28" s="248">
        <v>96.831069999999997</v>
      </c>
      <c r="S28" s="375">
        <v>108.031035</v>
      </c>
      <c r="T28" s="375">
        <v>119.23099999999999</v>
      </c>
    </row>
    <row r="29" spans="1:20" x14ac:dyDescent="0.25">
      <c r="A29" s="271" t="s">
        <v>601</v>
      </c>
      <c r="B29" s="173" t="s">
        <v>828</v>
      </c>
      <c r="C29" s="173" t="s">
        <v>1615</v>
      </c>
      <c r="D29" s="197" t="s">
        <v>904</v>
      </c>
      <c r="E29" s="248">
        <v>2015</v>
      </c>
      <c r="F29" s="248">
        <v>18.459746504999998</v>
      </c>
      <c r="G29" s="248">
        <v>2015</v>
      </c>
      <c r="H29" s="248">
        <v>22.3218</v>
      </c>
      <c r="I29" s="248">
        <v>16.613771854499998</v>
      </c>
      <c r="J29" s="248">
        <v>19.467785927249999</v>
      </c>
      <c r="K29" s="375">
        <v>20.894792963625001</v>
      </c>
      <c r="L29" s="375">
        <v>22.3218</v>
      </c>
      <c r="M29" s="375">
        <v>14.767797203999999</v>
      </c>
      <c r="N29" s="375">
        <v>18.544798602</v>
      </c>
      <c r="O29" s="375">
        <v>20.433299300999998</v>
      </c>
      <c r="P29" s="375">
        <v>22.3218</v>
      </c>
      <c r="Q29" s="375">
        <v>12.9218225535</v>
      </c>
      <c r="R29" s="248">
        <v>17.621811276750002</v>
      </c>
      <c r="S29" s="375">
        <v>19.971805638374999</v>
      </c>
      <c r="T29" s="375">
        <v>22.3218</v>
      </c>
    </row>
    <row r="30" spans="1:20" x14ac:dyDescent="0.25">
      <c r="A30" s="271" t="s">
        <v>608</v>
      </c>
      <c r="B30" s="173" t="s">
        <v>1136</v>
      </c>
      <c r="C30" s="173" t="s">
        <v>1137</v>
      </c>
      <c r="D30" s="197" t="s">
        <v>904</v>
      </c>
      <c r="E30" s="248">
        <v>2014</v>
      </c>
      <c r="F30" s="248">
        <v>397.5469769</v>
      </c>
      <c r="G30" s="248">
        <v>2015</v>
      </c>
      <c r="H30" s="248">
        <v>419.10700000000003</v>
      </c>
      <c r="I30" s="248">
        <v>433.75405882352942</v>
      </c>
      <c r="J30" s="248">
        <v>450.3422941176471</v>
      </c>
      <c r="K30" s="375">
        <v>462.69523529411765</v>
      </c>
      <c r="L30" s="375">
        <v>475.04817647058826</v>
      </c>
      <c r="M30" s="375">
        <v>453.28347058823533</v>
      </c>
      <c r="N30" s="375">
        <v>491.98935294117649</v>
      </c>
      <c r="O30" s="375">
        <v>520.81288235294119</v>
      </c>
      <c r="P30" s="375">
        <v>549.63641176470594</v>
      </c>
      <c r="Q30" s="375">
        <v>480</v>
      </c>
      <c r="R30" s="248">
        <v>580</v>
      </c>
      <c r="S30" s="375">
        <v>650</v>
      </c>
      <c r="T30" s="375">
        <v>736.10699999999997</v>
      </c>
    </row>
    <row r="31" spans="1:20" x14ac:dyDescent="0.25">
      <c r="A31" s="271" t="s">
        <v>1102</v>
      </c>
      <c r="B31" s="173" t="s">
        <v>1611</v>
      </c>
      <c r="C31" s="173" t="s">
        <v>1616</v>
      </c>
      <c r="D31" s="197" t="s">
        <v>904</v>
      </c>
      <c r="E31" s="248">
        <v>2015</v>
      </c>
      <c r="F31" s="248">
        <v>4.2113229247271597</v>
      </c>
      <c r="G31" s="248">
        <v>2015</v>
      </c>
      <c r="H31" s="248">
        <v>4.3635900000000003</v>
      </c>
      <c r="I31" s="248">
        <v>4.0007567784908016</v>
      </c>
      <c r="J31" s="248">
        <v>4.1821733892454009</v>
      </c>
      <c r="K31" s="375">
        <v>4.2728816946227006</v>
      </c>
      <c r="L31" s="375">
        <v>4.3635900000000003</v>
      </c>
      <c r="M31" s="375">
        <v>3.369058339781728</v>
      </c>
      <c r="N31" s="375">
        <v>3.8663241698908641</v>
      </c>
      <c r="O31" s="375">
        <v>4.1149570849454324</v>
      </c>
      <c r="P31" s="375">
        <v>4.3635900000000003</v>
      </c>
      <c r="Q31" s="375">
        <v>2.1056614623635799</v>
      </c>
      <c r="R31" s="248">
        <v>3.2346257311817901</v>
      </c>
      <c r="S31" s="375">
        <v>3.7991078655908952</v>
      </c>
      <c r="T31" s="375">
        <v>4.3635900000000003</v>
      </c>
    </row>
    <row r="32" spans="1:20" x14ac:dyDescent="0.25">
      <c r="A32" s="271" t="s">
        <v>640</v>
      </c>
      <c r="B32" s="173" t="s">
        <v>644</v>
      </c>
      <c r="C32" s="173" t="s">
        <v>645</v>
      </c>
      <c r="D32" s="197" t="s">
        <v>904</v>
      </c>
      <c r="E32" s="248">
        <v>2015</v>
      </c>
      <c r="F32" s="248">
        <v>0.57065564884860986</v>
      </c>
      <c r="G32" s="248">
        <v>2015</v>
      </c>
      <c r="H32" s="248">
        <v>0.61274700000000004</v>
      </c>
      <c r="I32" s="248">
        <v>0.54212286640617935</v>
      </c>
      <c r="J32" s="248">
        <v>0.5774349332030897</v>
      </c>
      <c r="K32" s="375">
        <v>0.59509096660154492</v>
      </c>
      <c r="L32" s="375">
        <v>0.61274700000000004</v>
      </c>
      <c r="M32" s="375">
        <v>0.45652451907888791</v>
      </c>
      <c r="N32" s="375">
        <v>0.53463575953944398</v>
      </c>
      <c r="O32" s="375">
        <v>0.57369137976972207</v>
      </c>
      <c r="P32" s="375">
        <v>0.61274700000000004</v>
      </c>
      <c r="Q32" s="375">
        <v>0.28532782442430493</v>
      </c>
      <c r="R32" s="248">
        <v>0.44903741221215249</v>
      </c>
      <c r="S32" s="375">
        <v>0.53089220610607624</v>
      </c>
      <c r="T32" s="375">
        <v>0.61274700000000004</v>
      </c>
    </row>
    <row r="33" spans="1:20" x14ac:dyDescent="0.25">
      <c r="A33" s="271" t="s">
        <v>641</v>
      </c>
      <c r="B33" s="173" t="s">
        <v>1112</v>
      </c>
      <c r="C33" s="173" t="s">
        <v>645</v>
      </c>
      <c r="D33" s="197" t="s">
        <v>904</v>
      </c>
      <c r="E33" s="248">
        <v>2015</v>
      </c>
      <c r="F33" s="248">
        <v>0.7883381298190415</v>
      </c>
      <c r="G33" s="248">
        <v>2015</v>
      </c>
      <c r="H33" s="248">
        <v>0.98735300000000004</v>
      </c>
      <c r="I33" s="248">
        <v>0.74892122332808941</v>
      </c>
      <c r="J33" s="248">
        <v>0.86813711166404472</v>
      </c>
      <c r="K33" s="375">
        <v>0.92774505583202238</v>
      </c>
      <c r="L33" s="375">
        <v>0.98735300000000004</v>
      </c>
      <c r="M33" s="375">
        <v>0.63067050385523316</v>
      </c>
      <c r="N33" s="375">
        <v>0.80901175192761654</v>
      </c>
      <c r="O33" s="375">
        <v>0.89818237596380834</v>
      </c>
      <c r="P33" s="375">
        <v>0.98735300000000004</v>
      </c>
      <c r="Q33" s="375">
        <v>0.39416906490952075</v>
      </c>
      <c r="R33" s="248">
        <v>0.69076103245476039</v>
      </c>
      <c r="S33" s="375">
        <v>0.83905701622738027</v>
      </c>
      <c r="T33" s="375">
        <v>0.98735300000000004</v>
      </c>
    </row>
    <row r="34" spans="1:20" x14ac:dyDescent="0.25">
      <c r="A34" s="271" t="s">
        <v>1104</v>
      </c>
      <c r="B34" s="173" t="s">
        <v>1612</v>
      </c>
      <c r="C34" s="173" t="s">
        <v>1616</v>
      </c>
      <c r="D34" s="197" t="s">
        <v>904</v>
      </c>
      <c r="E34" s="248">
        <v>2015</v>
      </c>
      <c r="F34" s="248">
        <v>5.8177754750031703</v>
      </c>
      <c r="G34" s="248">
        <v>2015</v>
      </c>
      <c r="H34" s="248">
        <v>7.0312999999999999</v>
      </c>
      <c r="I34" s="248">
        <v>5.5268867012530114</v>
      </c>
      <c r="J34" s="248">
        <v>6.2790933506265052</v>
      </c>
      <c r="K34" s="375">
        <v>6.6551966753132525</v>
      </c>
      <c r="L34" s="375">
        <v>7.0312999999999999</v>
      </c>
      <c r="M34" s="375">
        <v>4.6542203800025366</v>
      </c>
      <c r="N34" s="375">
        <v>5.8427601900012682</v>
      </c>
      <c r="O34" s="375">
        <v>6.4370300950006341</v>
      </c>
      <c r="P34" s="375">
        <v>7.0312999999999999</v>
      </c>
      <c r="Q34" s="375">
        <v>2.9088877375015851</v>
      </c>
      <c r="R34" s="248">
        <v>4.9700938687507925</v>
      </c>
      <c r="S34" s="375">
        <v>6.0006969343753962</v>
      </c>
      <c r="T34" s="375">
        <v>7.0312999999999999</v>
      </c>
    </row>
    <row r="35" spans="1:20" x14ac:dyDescent="0.25">
      <c r="A35" s="271" t="s">
        <v>801</v>
      </c>
      <c r="B35" s="173" t="s">
        <v>800</v>
      </c>
      <c r="C35" s="173" t="s">
        <v>645</v>
      </c>
      <c r="D35" s="197" t="s">
        <v>904</v>
      </c>
      <c r="E35" s="248">
        <v>2015</v>
      </c>
      <c r="F35" s="248">
        <v>4.54</v>
      </c>
      <c r="G35" s="248">
        <v>2015</v>
      </c>
      <c r="H35" s="248">
        <v>5.3011799999999996</v>
      </c>
      <c r="I35" s="248">
        <v>4.3129999999999997</v>
      </c>
      <c r="J35" s="248">
        <v>4.8070899999999996</v>
      </c>
      <c r="K35" s="375">
        <v>5.0541349999999996</v>
      </c>
      <c r="L35" s="375">
        <v>5.3011799999999996</v>
      </c>
      <c r="M35" s="375">
        <v>3.6320000000000001</v>
      </c>
      <c r="N35" s="375">
        <v>4.4665900000000001</v>
      </c>
      <c r="O35" s="375">
        <v>4.8838849999999994</v>
      </c>
      <c r="P35" s="375">
        <v>5.3011799999999996</v>
      </c>
      <c r="Q35" s="375">
        <v>2.27</v>
      </c>
      <c r="R35" s="248">
        <v>3.78559</v>
      </c>
      <c r="S35" s="375">
        <v>4.5433849999999998</v>
      </c>
      <c r="T35" s="375">
        <v>5.3011799999999996</v>
      </c>
    </row>
    <row r="36" spans="1:20" x14ac:dyDescent="0.25">
      <c r="A36" s="271" t="s">
        <v>621</v>
      </c>
      <c r="B36" s="173" t="s">
        <v>657</v>
      </c>
      <c r="C36" s="173" t="s">
        <v>645</v>
      </c>
      <c r="D36" s="197" t="s">
        <v>904</v>
      </c>
      <c r="E36" s="248">
        <v>2014</v>
      </c>
      <c r="F36" s="248">
        <v>4.9816855938225997</v>
      </c>
      <c r="G36" s="248">
        <v>2015</v>
      </c>
      <c r="H36" s="248">
        <v>4.8600000000000003</v>
      </c>
      <c r="I36" s="248">
        <v>3.4871799156758199</v>
      </c>
      <c r="J36" s="248">
        <v>4.1735899578379101</v>
      </c>
      <c r="K36" s="375">
        <v>4.5167949789189556</v>
      </c>
      <c r="L36" s="375">
        <v>4.8600000000000003</v>
      </c>
      <c r="M36" s="375">
        <v>2.4908427969112998</v>
      </c>
      <c r="N36" s="375">
        <v>3.6754213984556499</v>
      </c>
      <c r="O36" s="375">
        <v>4.2677106992278251</v>
      </c>
      <c r="P36" s="375">
        <v>4.8600000000000003</v>
      </c>
      <c r="Q36" s="375">
        <v>1.4945056781467803</v>
      </c>
      <c r="R36" s="248">
        <v>3.1772528390733905</v>
      </c>
      <c r="S36" s="375">
        <v>4.0186264195366954</v>
      </c>
      <c r="T36" s="375">
        <v>4.8600000000000003</v>
      </c>
    </row>
    <row r="37" spans="1:20" x14ac:dyDescent="0.25">
      <c r="A37" s="271" t="s">
        <v>622</v>
      </c>
      <c r="B37" s="173" t="s">
        <v>505</v>
      </c>
      <c r="C37" s="173" t="s">
        <v>498</v>
      </c>
      <c r="D37" s="197" t="s">
        <v>904</v>
      </c>
      <c r="E37" s="248">
        <v>2011</v>
      </c>
      <c r="F37" s="248">
        <v>2.83</v>
      </c>
      <c r="G37" s="248">
        <v>2015</v>
      </c>
      <c r="H37" s="248">
        <v>2.6020699999999999</v>
      </c>
      <c r="I37" s="248">
        <v>2.9313248999999999</v>
      </c>
      <c r="J37" s="248">
        <v>3.0217489</v>
      </c>
      <c r="K37" s="375">
        <v>3.0169999999999999</v>
      </c>
      <c r="L37" s="375">
        <v>3.3364218999999999</v>
      </c>
      <c r="M37" s="375">
        <v>3.125</v>
      </c>
      <c r="N37" s="375">
        <v>3.5979999999999999</v>
      </c>
      <c r="O37" s="375">
        <v>3.9220000000000002</v>
      </c>
      <c r="P37" s="375">
        <v>4.8374914999999996</v>
      </c>
      <c r="Q37" s="375">
        <v>2.637</v>
      </c>
      <c r="R37" s="248">
        <v>4.2709999999999999</v>
      </c>
      <c r="S37" s="375">
        <v>6.5609999999999999</v>
      </c>
      <c r="T37" s="375">
        <v>8.6977696000000009</v>
      </c>
    </row>
    <row r="38" spans="1:20" x14ac:dyDescent="0.25">
      <c r="A38" s="271" t="s">
        <v>623</v>
      </c>
      <c r="B38" s="173" t="s">
        <v>658</v>
      </c>
      <c r="C38" s="173" t="s">
        <v>498</v>
      </c>
      <c r="D38" s="197" t="s">
        <v>904</v>
      </c>
      <c r="E38" s="248">
        <v>2011</v>
      </c>
      <c r="F38" s="248">
        <v>1.82</v>
      </c>
      <c r="G38" s="248">
        <v>2015</v>
      </c>
      <c r="H38" s="248">
        <v>2.21557</v>
      </c>
      <c r="I38" s="248">
        <v>2.4343537</v>
      </c>
      <c r="J38" s="248">
        <v>2.4919891000000001</v>
      </c>
      <c r="K38" s="375">
        <v>2.5009999999999999</v>
      </c>
      <c r="L38" s="375">
        <v>2.6296694999999999</v>
      </c>
      <c r="M38" s="375">
        <v>2.7229999999999999</v>
      </c>
      <c r="N38" s="375">
        <v>3.0819999999999999</v>
      </c>
      <c r="O38" s="375">
        <v>3.28</v>
      </c>
      <c r="P38" s="375">
        <v>3.7644280000000001</v>
      </c>
      <c r="Q38" s="375">
        <v>2.38</v>
      </c>
      <c r="R38" s="248">
        <v>3.802</v>
      </c>
      <c r="S38" s="375">
        <v>5.6079999999999997</v>
      </c>
      <c r="T38" s="375">
        <v>7.3269913000000004</v>
      </c>
    </row>
    <row r="39" spans="1:20" x14ac:dyDescent="0.25">
      <c r="A39" s="271" t="s">
        <v>624</v>
      </c>
      <c r="B39" s="173" t="s">
        <v>1029</v>
      </c>
      <c r="C39" s="173" t="s">
        <v>499</v>
      </c>
      <c r="D39" s="197" t="s">
        <v>1083</v>
      </c>
      <c r="E39" s="248">
        <v>2020</v>
      </c>
      <c r="F39" s="248">
        <v>1.2410000000000001</v>
      </c>
      <c r="G39" s="248">
        <v>2015</v>
      </c>
      <c r="H39" s="248">
        <v>1.22865</v>
      </c>
      <c r="I39" s="248">
        <v>1.4725360000000001</v>
      </c>
      <c r="J39" s="248">
        <v>1.4947785</v>
      </c>
      <c r="K39" s="375">
        <v>1.4830000000000001</v>
      </c>
      <c r="L39" s="375">
        <v>1.6029602000000001</v>
      </c>
      <c r="M39" s="375">
        <v>1.7589999999999999</v>
      </c>
      <c r="N39" s="375">
        <v>1.9359999999999999</v>
      </c>
      <c r="O39" s="375">
        <v>2.0529999999999999</v>
      </c>
      <c r="P39" s="375">
        <v>2.4804900000000001</v>
      </c>
      <c r="Q39" s="375">
        <v>1.7609999999999999</v>
      </c>
      <c r="R39" s="248">
        <v>2.653</v>
      </c>
      <c r="S39" s="375">
        <v>3.7629999999999999</v>
      </c>
      <c r="T39" s="375">
        <v>5.0519664999999998</v>
      </c>
    </row>
    <row r="40" spans="1:20" x14ac:dyDescent="0.25">
      <c r="A40" s="271" t="s">
        <v>879</v>
      </c>
      <c r="B40" s="173" t="s">
        <v>881</v>
      </c>
      <c r="C40" s="173" t="s">
        <v>473</v>
      </c>
      <c r="D40" s="197" t="s">
        <v>904</v>
      </c>
      <c r="E40" s="248">
        <v>2015</v>
      </c>
      <c r="F40" s="248">
        <v>30.744264405397601</v>
      </c>
      <c r="G40" s="248">
        <v>2015</v>
      </c>
      <c r="H40" s="248">
        <v>31.008400000000002</v>
      </c>
      <c r="I40" s="248">
        <v>32.896362913775434</v>
      </c>
      <c r="J40" s="248">
        <v>31.952381456887718</v>
      </c>
      <c r="K40" s="375">
        <v>31.480390728443858</v>
      </c>
      <c r="L40" s="375">
        <v>31.008400000000002</v>
      </c>
      <c r="M40" s="375">
        <v>35.355904066207245</v>
      </c>
      <c r="N40" s="375">
        <v>33.18215203310362</v>
      </c>
      <c r="O40" s="375">
        <v>32.095276016551814</v>
      </c>
      <c r="P40" s="375">
        <v>31.008400000000002</v>
      </c>
      <c r="Q40" s="375">
        <v>39.967543727016881</v>
      </c>
      <c r="R40" s="248">
        <v>35.487971863508442</v>
      </c>
      <c r="S40" s="375">
        <v>33.248185931754222</v>
      </c>
      <c r="T40" s="375">
        <v>31.008400000000002</v>
      </c>
    </row>
    <row r="41" spans="1:20" x14ac:dyDescent="0.25">
      <c r="A41" s="271" t="s">
        <v>964</v>
      </c>
      <c r="B41" s="173" t="s">
        <v>28</v>
      </c>
      <c r="C41" s="173" t="s">
        <v>965</v>
      </c>
      <c r="D41" s="197" t="s">
        <v>904</v>
      </c>
      <c r="E41" s="248">
        <v>2020</v>
      </c>
      <c r="F41" s="248">
        <v>3697.7395999999999</v>
      </c>
      <c r="G41" s="248">
        <v>2015</v>
      </c>
      <c r="H41" s="248">
        <v>4001.32</v>
      </c>
      <c r="I41" s="248">
        <v>4067.5135599999999</v>
      </c>
      <c r="J41" s="248">
        <v>4034.41678</v>
      </c>
      <c r="K41" s="375">
        <v>4017.8683900000001</v>
      </c>
      <c r="L41" s="375">
        <v>4001.32</v>
      </c>
      <c r="M41" s="375">
        <v>4437.2875199999999</v>
      </c>
      <c r="N41" s="375">
        <v>4219.3037599999998</v>
      </c>
      <c r="O41" s="375">
        <v>4110.3118800000002</v>
      </c>
      <c r="P41" s="375">
        <v>4001.32</v>
      </c>
      <c r="Q41" s="375">
        <v>4807.0614800000003</v>
      </c>
      <c r="R41" s="248">
        <v>4404.19074</v>
      </c>
      <c r="S41" s="375">
        <v>4202.7553699999999</v>
      </c>
      <c r="T41" s="375">
        <v>4001.32</v>
      </c>
    </row>
    <row r="42" spans="1:20" x14ac:dyDescent="0.25">
      <c r="A42" s="402" t="s">
        <v>883</v>
      </c>
      <c r="B42" s="370" t="s">
        <v>884</v>
      </c>
      <c r="C42" s="370" t="s">
        <v>473</v>
      </c>
      <c r="D42" s="400" t="s">
        <v>904</v>
      </c>
      <c r="E42" s="392">
        <v>2000</v>
      </c>
      <c r="F42" s="248">
        <v>70</v>
      </c>
      <c r="G42" s="248">
        <v>2015</v>
      </c>
      <c r="H42" s="248">
        <v>37.101700000000001</v>
      </c>
      <c r="I42" s="248">
        <v>50</v>
      </c>
      <c r="J42" s="248">
        <v>43.550849999999997</v>
      </c>
      <c r="K42" s="375">
        <v>40.326275000000003</v>
      </c>
      <c r="L42" s="375">
        <v>37.101700000000001</v>
      </c>
      <c r="M42" s="375">
        <v>60</v>
      </c>
      <c r="N42" s="375">
        <v>48.550849999999997</v>
      </c>
      <c r="O42" s="375">
        <v>42.826275000000003</v>
      </c>
      <c r="P42" s="375">
        <v>37.101700000000001</v>
      </c>
      <c r="Q42" s="375">
        <v>70</v>
      </c>
      <c r="R42" s="248">
        <v>53.550849999999997</v>
      </c>
      <c r="S42" s="375">
        <v>45.326275000000003</v>
      </c>
      <c r="T42" s="375">
        <v>37.101700000000001</v>
      </c>
    </row>
    <row r="43" spans="1:20" x14ac:dyDescent="0.25">
      <c r="A43" s="458"/>
      <c r="B43" s="458"/>
      <c r="C43" s="458"/>
      <c r="D43" s="458"/>
      <c r="E43" s="376"/>
    </row>
    <row r="44" spans="1:20" x14ac:dyDescent="0.25">
      <c r="A44" s="458"/>
      <c r="B44" s="458"/>
      <c r="C44" s="458"/>
      <c r="D44" s="458"/>
      <c r="E44" s="376"/>
    </row>
    <row r="45" spans="1:20" x14ac:dyDescent="0.25">
      <c r="A45" s="458"/>
      <c r="B45" s="458"/>
      <c r="C45" s="458"/>
      <c r="D45" s="458"/>
      <c r="E45" s="376"/>
    </row>
    <row r="46" spans="1:20" x14ac:dyDescent="0.25">
      <c r="A46" s="458"/>
      <c r="B46" s="458"/>
      <c r="C46" s="458"/>
      <c r="D46" s="458"/>
      <c r="E46" s="376"/>
    </row>
    <row r="47" spans="1:20" x14ac:dyDescent="0.25">
      <c r="A47" s="458"/>
      <c r="B47" s="458"/>
      <c r="C47" s="458"/>
      <c r="D47" s="458"/>
      <c r="E47" s="376"/>
    </row>
    <row r="48" spans="1:20" x14ac:dyDescent="0.25">
      <c r="A48" s="458"/>
      <c r="B48" s="458"/>
      <c r="C48" s="458"/>
      <c r="D48" s="458"/>
      <c r="E48" s="376"/>
    </row>
    <row r="49" spans="1:5" x14ac:dyDescent="0.25">
      <c r="A49" s="458"/>
      <c r="B49" s="458"/>
      <c r="C49" s="458"/>
      <c r="D49" s="458"/>
      <c r="E49" s="376"/>
    </row>
    <row r="50" spans="1:5" x14ac:dyDescent="0.25">
      <c r="A50" s="458"/>
      <c r="B50" s="458"/>
      <c r="C50" s="458"/>
      <c r="D50" s="458"/>
      <c r="E50" s="376"/>
    </row>
    <row r="51" spans="1:5" x14ac:dyDescent="0.25">
      <c r="A51" s="458"/>
      <c r="B51" s="458"/>
      <c r="C51" s="458"/>
      <c r="D51" s="458"/>
      <c r="E51" s="376"/>
    </row>
    <row r="52" spans="1:5" x14ac:dyDescent="0.25">
      <c r="A52" s="458"/>
      <c r="B52" s="458"/>
      <c r="C52" s="458"/>
      <c r="D52" s="458"/>
      <c r="E52" s="376"/>
    </row>
    <row r="53" spans="1:5" x14ac:dyDescent="0.25">
      <c r="A53" s="458"/>
      <c r="B53" s="458"/>
      <c r="C53" s="458"/>
      <c r="D53" s="458"/>
      <c r="E53" s="376"/>
    </row>
    <row r="54" spans="1:5" x14ac:dyDescent="0.25">
      <c r="A54" s="458"/>
      <c r="B54" s="458"/>
      <c r="C54" s="458"/>
      <c r="D54" s="458"/>
      <c r="E54" s="376"/>
    </row>
    <row r="55" spans="1:5" x14ac:dyDescent="0.25">
      <c r="A55" s="458"/>
      <c r="B55" s="458"/>
      <c r="C55" s="458"/>
      <c r="D55" s="458"/>
      <c r="E55" s="376"/>
    </row>
    <row r="56" spans="1:5" x14ac:dyDescent="0.25">
      <c r="A56" s="458"/>
      <c r="B56" s="458"/>
      <c r="C56" s="458"/>
      <c r="D56" s="458"/>
      <c r="E56" s="376"/>
    </row>
    <row r="57" spans="1:5" x14ac:dyDescent="0.25">
      <c r="A57" s="458"/>
      <c r="B57" s="458"/>
      <c r="C57" s="458"/>
      <c r="D57" s="458"/>
      <c r="E57" s="376"/>
    </row>
    <row r="58" spans="1:5" x14ac:dyDescent="0.25">
      <c r="A58" s="458"/>
      <c r="B58" s="458"/>
      <c r="C58" s="458"/>
      <c r="D58" s="458"/>
      <c r="E58" s="376"/>
    </row>
    <row r="59" spans="1:5" x14ac:dyDescent="0.25">
      <c r="A59" s="458"/>
      <c r="B59" s="458"/>
      <c r="C59" s="458"/>
      <c r="D59" s="458"/>
      <c r="E59" s="376"/>
    </row>
    <row r="60" spans="1:5" x14ac:dyDescent="0.25">
      <c r="A60" s="458"/>
      <c r="B60" s="458"/>
      <c r="C60" s="458"/>
      <c r="D60" s="458"/>
      <c r="E60" s="376"/>
    </row>
    <row r="61" spans="1:5" x14ac:dyDescent="0.25">
      <c r="A61" s="458"/>
      <c r="B61" s="458"/>
      <c r="C61" s="458"/>
      <c r="D61" s="458"/>
      <c r="E61" s="376"/>
    </row>
    <row r="62" spans="1:5" x14ac:dyDescent="0.25">
      <c r="A62" s="458"/>
      <c r="B62" s="458"/>
      <c r="C62" s="458"/>
      <c r="D62" s="458"/>
      <c r="E62" s="376"/>
    </row>
    <row r="63" spans="1:5" x14ac:dyDescent="0.25">
      <c r="A63" s="458"/>
      <c r="B63" s="458"/>
      <c r="C63" s="458"/>
      <c r="D63" s="458"/>
      <c r="E63" s="376"/>
    </row>
    <row r="64" spans="1:5" x14ac:dyDescent="0.25">
      <c r="A64" s="458"/>
      <c r="B64" s="458"/>
      <c r="C64" s="458"/>
      <c r="D64" s="458"/>
      <c r="E64" s="376"/>
    </row>
    <row r="65" spans="1:5" x14ac:dyDescent="0.25">
      <c r="A65" s="458"/>
      <c r="B65" s="458"/>
      <c r="C65" s="458"/>
      <c r="D65" s="458"/>
      <c r="E65" s="376"/>
    </row>
    <row r="66" spans="1:5" x14ac:dyDescent="0.25">
      <c r="A66" s="458"/>
      <c r="B66" s="458"/>
      <c r="C66" s="458"/>
      <c r="D66" s="458"/>
      <c r="E66" s="376"/>
    </row>
    <row r="67" spans="1:5" x14ac:dyDescent="0.25">
      <c r="A67" s="458"/>
      <c r="B67" s="458"/>
      <c r="C67" s="458"/>
      <c r="D67" s="458"/>
      <c r="E67" s="376"/>
    </row>
    <row r="68" spans="1:5" x14ac:dyDescent="0.25">
      <c r="A68" s="458"/>
      <c r="B68" s="458"/>
      <c r="C68" s="458"/>
      <c r="D68" s="458"/>
      <c r="E68" s="376"/>
    </row>
    <row r="69" spans="1:5" x14ac:dyDescent="0.25">
      <c r="A69" s="458"/>
      <c r="B69" s="458"/>
      <c r="C69" s="458"/>
      <c r="D69" s="458"/>
      <c r="E69" s="376"/>
    </row>
    <row r="70" spans="1:5" x14ac:dyDescent="0.25">
      <c r="A70" s="458"/>
      <c r="B70" s="458"/>
      <c r="C70" s="458"/>
      <c r="D70" s="458"/>
      <c r="E70" s="376"/>
    </row>
    <row r="71" spans="1:5" x14ac:dyDescent="0.25">
      <c r="A71" s="458"/>
      <c r="B71" s="458"/>
      <c r="C71" s="458"/>
      <c r="D71" s="458"/>
      <c r="E71" s="376"/>
    </row>
    <row r="72" spans="1:5" x14ac:dyDescent="0.25">
      <c r="A72" s="458"/>
      <c r="B72" s="458"/>
      <c r="C72" s="458"/>
      <c r="D72" s="458"/>
      <c r="E72" s="376"/>
    </row>
    <row r="73" spans="1:5" x14ac:dyDescent="0.25">
      <c r="A73" s="458"/>
      <c r="B73" s="458"/>
      <c r="C73" s="458"/>
      <c r="D73" s="458"/>
      <c r="E73" s="376"/>
    </row>
    <row r="74" spans="1:5" x14ac:dyDescent="0.25">
      <c r="A74" s="458"/>
      <c r="B74" s="458"/>
      <c r="C74" s="458"/>
      <c r="D74" s="458"/>
      <c r="E74" s="376"/>
    </row>
    <row r="75" spans="1:5" x14ac:dyDescent="0.25">
      <c r="A75" s="458"/>
      <c r="B75" s="458"/>
      <c r="C75" s="458"/>
      <c r="D75" s="458"/>
      <c r="E75" s="376"/>
    </row>
    <row r="76" spans="1:5" x14ac:dyDescent="0.25">
      <c r="A76" s="458"/>
      <c r="B76" s="458"/>
      <c r="C76" s="458"/>
      <c r="D76" s="458"/>
      <c r="E76" s="376"/>
    </row>
    <row r="77" spans="1:5" x14ac:dyDescent="0.25">
      <c r="A77" s="458"/>
      <c r="B77" s="458"/>
      <c r="C77" s="458"/>
      <c r="D77" s="458"/>
      <c r="E77" s="376"/>
    </row>
    <row r="78" spans="1:5" x14ac:dyDescent="0.25">
      <c r="A78" s="458"/>
      <c r="B78" s="458"/>
      <c r="C78" s="458"/>
      <c r="D78" s="458"/>
      <c r="E78" s="376"/>
    </row>
    <row r="79" spans="1:5" x14ac:dyDescent="0.25">
      <c r="A79" s="458"/>
      <c r="B79" s="458"/>
      <c r="C79" s="458"/>
      <c r="D79" s="458"/>
      <c r="E79" s="376"/>
    </row>
    <row r="80" spans="1:5" x14ac:dyDescent="0.25">
      <c r="A80" s="458"/>
      <c r="B80" s="458"/>
      <c r="C80" s="458"/>
      <c r="D80" s="458"/>
      <c r="E80" s="376"/>
    </row>
    <row r="81" spans="1:5" x14ac:dyDescent="0.25">
      <c r="A81" s="458"/>
      <c r="B81" s="458"/>
      <c r="C81" s="458"/>
      <c r="D81" s="458"/>
      <c r="E81" s="376"/>
    </row>
    <row r="82" spans="1:5" x14ac:dyDescent="0.25">
      <c r="A82" s="458"/>
      <c r="B82" s="458"/>
      <c r="C82" s="458"/>
      <c r="D82" s="458"/>
      <c r="E82" s="376"/>
    </row>
    <row r="83" spans="1:5" x14ac:dyDescent="0.25">
      <c r="A83" s="458"/>
      <c r="B83" s="458"/>
      <c r="C83" s="458"/>
      <c r="D83" s="458"/>
      <c r="E83" s="376"/>
    </row>
    <row r="84" spans="1:5" x14ac:dyDescent="0.25">
      <c r="A84" s="458"/>
      <c r="B84" s="458"/>
      <c r="C84" s="458"/>
      <c r="D84" s="458"/>
      <c r="E84" s="376"/>
    </row>
    <row r="85" spans="1:5" x14ac:dyDescent="0.25">
      <c r="A85" s="458"/>
      <c r="B85" s="458"/>
      <c r="C85" s="458"/>
      <c r="D85" s="458"/>
      <c r="E85" s="376"/>
    </row>
    <row r="86" spans="1:5" x14ac:dyDescent="0.25">
      <c r="A86" s="458"/>
      <c r="B86" s="458"/>
      <c r="C86" s="458"/>
      <c r="D86" s="458"/>
      <c r="E86" s="376"/>
    </row>
    <row r="87" spans="1:5" x14ac:dyDescent="0.25">
      <c r="A87" s="458"/>
      <c r="B87" s="458"/>
      <c r="C87" s="458"/>
      <c r="D87" s="458"/>
      <c r="E87" s="376"/>
    </row>
    <row r="88" spans="1:5" x14ac:dyDescent="0.25">
      <c r="A88" s="458"/>
      <c r="B88" s="458"/>
      <c r="C88" s="458"/>
      <c r="D88" s="458"/>
      <c r="E88" s="376"/>
    </row>
    <row r="89" spans="1:5" x14ac:dyDescent="0.25">
      <c r="A89" s="458"/>
      <c r="B89" s="458"/>
      <c r="C89" s="458"/>
      <c r="D89" s="458"/>
      <c r="E89" s="376"/>
    </row>
    <row r="90" spans="1:5" x14ac:dyDescent="0.25">
      <c r="A90" s="458"/>
      <c r="B90" s="458"/>
      <c r="C90" s="458"/>
      <c r="D90" s="458"/>
      <c r="E90" s="376"/>
    </row>
    <row r="91" spans="1:5" x14ac:dyDescent="0.25">
      <c r="A91" s="458"/>
      <c r="B91" s="458"/>
      <c r="C91" s="458"/>
      <c r="D91" s="458"/>
      <c r="E91" s="376"/>
    </row>
    <row r="92" spans="1:5" x14ac:dyDescent="0.25">
      <c r="A92" s="458"/>
      <c r="B92" s="458"/>
      <c r="C92" s="458"/>
      <c r="D92" s="458"/>
      <c r="E92" s="376"/>
    </row>
    <row r="93" spans="1:5" x14ac:dyDescent="0.25">
      <c r="A93" s="458"/>
      <c r="B93" s="458"/>
      <c r="C93" s="458"/>
      <c r="D93" s="458"/>
      <c r="E93" s="376"/>
    </row>
    <row r="94" spans="1:5" x14ac:dyDescent="0.25">
      <c r="A94" s="458"/>
      <c r="B94" s="458"/>
      <c r="C94" s="458"/>
      <c r="D94" s="458"/>
      <c r="E94" s="376"/>
    </row>
    <row r="95" spans="1:5" x14ac:dyDescent="0.25">
      <c r="A95" s="458"/>
      <c r="B95" s="458"/>
      <c r="C95" s="458"/>
      <c r="D95" s="458"/>
      <c r="E95" s="376"/>
    </row>
    <row r="96" spans="1:5" x14ac:dyDescent="0.25">
      <c r="A96" s="458"/>
      <c r="B96" s="458"/>
      <c r="C96" s="458"/>
      <c r="D96" s="458"/>
      <c r="E96" s="376"/>
    </row>
    <row r="97" spans="1:5" x14ac:dyDescent="0.25">
      <c r="A97" s="458"/>
      <c r="B97" s="458"/>
      <c r="C97" s="458"/>
      <c r="D97" s="458"/>
      <c r="E97" s="376"/>
    </row>
    <row r="98" spans="1:5" x14ac:dyDescent="0.25">
      <c r="A98" s="458"/>
      <c r="B98" s="458"/>
      <c r="C98" s="458"/>
      <c r="D98" s="458"/>
      <c r="E98" s="376"/>
    </row>
    <row r="99" spans="1:5" x14ac:dyDescent="0.25">
      <c r="A99" s="458"/>
      <c r="B99" s="458"/>
      <c r="C99" s="458"/>
      <c r="D99" s="458"/>
      <c r="E99" s="376"/>
    </row>
    <row r="100" spans="1:5" x14ac:dyDescent="0.25">
      <c r="A100" s="458"/>
      <c r="B100" s="458"/>
      <c r="C100" s="458"/>
      <c r="D100" s="458"/>
      <c r="E100" s="376"/>
    </row>
    <row r="101" spans="1:5" x14ac:dyDescent="0.25">
      <c r="A101" s="458"/>
      <c r="B101" s="458"/>
      <c r="C101" s="458"/>
      <c r="D101" s="458"/>
      <c r="E101" s="376"/>
    </row>
    <row r="102" spans="1:5" x14ac:dyDescent="0.25">
      <c r="A102" s="458"/>
      <c r="B102" s="458"/>
      <c r="C102" s="458"/>
      <c r="D102" s="458"/>
      <c r="E102" s="376"/>
    </row>
    <row r="103" spans="1:5" x14ac:dyDescent="0.25">
      <c r="A103" s="458"/>
      <c r="B103" s="458"/>
      <c r="C103" s="458"/>
      <c r="D103" s="458"/>
      <c r="E103" s="376"/>
    </row>
    <row r="104" spans="1:5" x14ac:dyDescent="0.25">
      <c r="A104" s="458"/>
      <c r="B104" s="458"/>
      <c r="C104" s="458"/>
      <c r="D104" s="458"/>
      <c r="E104" s="376"/>
    </row>
    <row r="105" spans="1:5" x14ac:dyDescent="0.25">
      <c r="A105" s="458"/>
      <c r="B105" s="458"/>
      <c r="C105" s="458"/>
      <c r="D105" s="458"/>
      <c r="E105" s="376"/>
    </row>
    <row r="106" spans="1:5" x14ac:dyDescent="0.25">
      <c r="A106" s="458"/>
      <c r="B106" s="458"/>
      <c r="C106" s="458"/>
      <c r="D106" s="458"/>
      <c r="E106" s="376"/>
    </row>
    <row r="107" spans="1:5" x14ac:dyDescent="0.25">
      <c r="A107" s="458"/>
      <c r="B107" s="458"/>
      <c r="C107" s="458"/>
      <c r="D107" s="458"/>
      <c r="E107" s="376"/>
    </row>
    <row r="108" spans="1:5" x14ac:dyDescent="0.25">
      <c r="A108" s="458"/>
      <c r="B108" s="458"/>
      <c r="C108" s="458"/>
      <c r="D108" s="458"/>
      <c r="E108" s="376"/>
    </row>
    <row r="109" spans="1:5" x14ac:dyDescent="0.25">
      <c r="A109" s="458"/>
      <c r="B109" s="458"/>
      <c r="C109" s="458"/>
      <c r="D109" s="458"/>
      <c r="E109" s="376"/>
    </row>
    <row r="110" spans="1:5" x14ac:dyDescent="0.25">
      <c r="A110" s="458"/>
      <c r="B110" s="458"/>
      <c r="C110" s="458"/>
      <c r="D110" s="458"/>
      <c r="E110" s="376"/>
    </row>
    <row r="111" spans="1:5" x14ac:dyDescent="0.25">
      <c r="A111" s="458"/>
      <c r="B111" s="458"/>
      <c r="C111" s="458"/>
      <c r="D111" s="458"/>
      <c r="E111" s="376"/>
    </row>
    <row r="112" spans="1:5" x14ac:dyDescent="0.25">
      <c r="A112" s="458"/>
      <c r="B112" s="458"/>
      <c r="C112" s="458"/>
      <c r="D112" s="458"/>
      <c r="E112" s="376"/>
    </row>
    <row r="113" spans="1:5" x14ac:dyDescent="0.25">
      <c r="A113" s="458"/>
      <c r="B113" s="458"/>
      <c r="C113" s="458"/>
      <c r="D113" s="458"/>
      <c r="E113" s="376"/>
    </row>
    <row r="114" spans="1:5" x14ac:dyDescent="0.25">
      <c r="A114" s="458"/>
      <c r="B114" s="458"/>
      <c r="C114" s="458"/>
      <c r="D114" s="458"/>
      <c r="E114" s="376"/>
    </row>
    <row r="115" spans="1:5" x14ac:dyDescent="0.25">
      <c r="A115" s="458"/>
      <c r="B115" s="458"/>
      <c r="C115" s="458"/>
      <c r="D115" s="458"/>
      <c r="E115" s="376"/>
    </row>
    <row r="116" spans="1:5" x14ac:dyDescent="0.25">
      <c r="A116" s="458"/>
      <c r="B116" s="458"/>
      <c r="C116" s="458"/>
      <c r="D116" s="458"/>
      <c r="E116" s="376"/>
    </row>
    <row r="117" spans="1:5" x14ac:dyDescent="0.25">
      <c r="A117" s="458"/>
      <c r="B117" s="458"/>
      <c r="C117" s="458"/>
      <c r="D117" s="458"/>
      <c r="E117" s="376"/>
    </row>
    <row r="118" spans="1:5" x14ac:dyDescent="0.25">
      <c r="A118" s="458"/>
      <c r="B118" s="458"/>
      <c r="C118" s="458"/>
      <c r="D118" s="458"/>
      <c r="E118" s="376"/>
    </row>
    <row r="119" spans="1:5" x14ac:dyDescent="0.25">
      <c r="A119" s="458"/>
      <c r="B119" s="458"/>
      <c r="C119" s="458"/>
      <c r="D119" s="458"/>
      <c r="E119" s="376"/>
    </row>
    <row r="120" spans="1:5" x14ac:dyDescent="0.25">
      <c r="A120" s="458"/>
      <c r="B120" s="458"/>
      <c r="C120" s="458"/>
      <c r="D120" s="458"/>
      <c r="E120" s="376"/>
    </row>
    <row r="121" spans="1:5" x14ac:dyDescent="0.25">
      <c r="A121" s="458"/>
      <c r="B121" s="458"/>
      <c r="C121" s="458"/>
      <c r="D121" s="458"/>
      <c r="E121" s="376"/>
    </row>
    <row r="122" spans="1:5" x14ac:dyDescent="0.25">
      <c r="A122" s="458"/>
      <c r="B122" s="458"/>
      <c r="C122" s="458"/>
      <c r="D122" s="458"/>
      <c r="E122" s="376"/>
    </row>
    <row r="123" spans="1:5" x14ac:dyDescent="0.25">
      <c r="A123" s="458"/>
      <c r="B123" s="458"/>
      <c r="C123" s="458"/>
      <c r="D123" s="458"/>
      <c r="E123" s="376"/>
    </row>
    <row r="124" spans="1:5" x14ac:dyDescent="0.25">
      <c r="A124" s="458"/>
      <c r="B124" s="458"/>
      <c r="C124" s="458"/>
      <c r="D124" s="458"/>
      <c r="E124" s="376"/>
    </row>
    <row r="125" spans="1:5" x14ac:dyDescent="0.25">
      <c r="A125" s="458"/>
      <c r="B125" s="458"/>
      <c r="C125" s="458"/>
      <c r="D125" s="458"/>
      <c r="E125" s="376"/>
    </row>
    <row r="126" spans="1:5" x14ac:dyDescent="0.25">
      <c r="A126" s="458"/>
      <c r="B126" s="458"/>
      <c r="C126" s="458"/>
      <c r="D126" s="458"/>
      <c r="E126" s="376"/>
    </row>
    <row r="127" spans="1:5" x14ac:dyDescent="0.25">
      <c r="A127" s="458"/>
      <c r="B127" s="458"/>
      <c r="C127" s="458"/>
      <c r="D127" s="458"/>
      <c r="E127" s="376"/>
    </row>
    <row r="128" spans="1:5" x14ac:dyDescent="0.25">
      <c r="A128" s="458"/>
      <c r="B128" s="458"/>
      <c r="C128" s="458"/>
      <c r="D128" s="458"/>
      <c r="E128" s="376"/>
    </row>
    <row r="129" spans="1:5" x14ac:dyDescent="0.25">
      <c r="A129" s="458"/>
      <c r="B129" s="458"/>
      <c r="C129" s="458"/>
      <c r="D129" s="458"/>
      <c r="E129" s="376"/>
    </row>
    <row r="130" spans="1:5" x14ac:dyDescent="0.25">
      <c r="A130" s="458"/>
      <c r="B130" s="458"/>
      <c r="C130" s="458"/>
      <c r="D130" s="458"/>
      <c r="E130" s="376"/>
    </row>
    <row r="131" spans="1:5" x14ac:dyDescent="0.25">
      <c r="A131" s="458"/>
      <c r="B131" s="458"/>
      <c r="C131" s="458"/>
      <c r="D131" s="458"/>
      <c r="E131" s="376"/>
    </row>
    <row r="132" spans="1:5" x14ac:dyDescent="0.25">
      <c r="A132" s="458"/>
      <c r="B132" s="458"/>
      <c r="C132" s="458"/>
      <c r="D132" s="458"/>
      <c r="E132" s="376"/>
    </row>
    <row r="133" spans="1:5" x14ac:dyDescent="0.25">
      <c r="A133" s="458"/>
      <c r="B133" s="458"/>
      <c r="C133" s="458"/>
      <c r="D133" s="458"/>
      <c r="E133" s="376"/>
    </row>
    <row r="134" spans="1:5" x14ac:dyDescent="0.25">
      <c r="A134" s="458"/>
      <c r="B134" s="458"/>
      <c r="C134" s="458"/>
      <c r="D134" s="458"/>
      <c r="E134" s="376"/>
    </row>
    <row r="135" spans="1:5" x14ac:dyDescent="0.25">
      <c r="A135" s="458"/>
      <c r="B135" s="458"/>
      <c r="C135" s="458"/>
      <c r="D135" s="458"/>
      <c r="E135" s="376"/>
    </row>
    <row r="136" spans="1:5" x14ac:dyDescent="0.25">
      <c r="A136" s="458"/>
      <c r="B136" s="458"/>
      <c r="C136" s="458"/>
      <c r="D136" s="458"/>
      <c r="E136" s="376"/>
    </row>
    <row r="137" spans="1:5" x14ac:dyDescent="0.25">
      <c r="A137" s="458"/>
      <c r="B137" s="458"/>
      <c r="C137" s="458"/>
      <c r="D137" s="458"/>
      <c r="E137" s="376"/>
    </row>
    <row r="138" spans="1:5" x14ac:dyDescent="0.25">
      <c r="A138" s="458"/>
      <c r="B138" s="458"/>
      <c r="C138" s="458"/>
      <c r="D138" s="458"/>
      <c r="E138" s="376"/>
    </row>
    <row r="139" spans="1:5" x14ac:dyDescent="0.25">
      <c r="A139" s="458"/>
      <c r="B139" s="458"/>
      <c r="C139" s="458"/>
      <c r="D139" s="458"/>
      <c r="E139" s="376"/>
    </row>
    <row r="140" spans="1:5" x14ac:dyDescent="0.25">
      <c r="A140" s="458"/>
      <c r="B140" s="458"/>
      <c r="C140" s="458"/>
      <c r="D140" s="458"/>
      <c r="E140" s="376"/>
    </row>
    <row r="141" spans="1:5" x14ac:dyDescent="0.25">
      <c r="A141" s="458"/>
      <c r="B141" s="458"/>
      <c r="C141" s="458"/>
      <c r="D141" s="458"/>
      <c r="E141" s="376"/>
    </row>
    <row r="142" spans="1:5" x14ac:dyDescent="0.25">
      <c r="A142" s="458"/>
      <c r="B142" s="458"/>
      <c r="C142" s="458"/>
      <c r="D142" s="458"/>
      <c r="E142" s="376"/>
    </row>
    <row r="143" spans="1:5" x14ac:dyDescent="0.25">
      <c r="A143" s="458"/>
      <c r="B143" s="458"/>
      <c r="C143" s="458"/>
      <c r="D143" s="458"/>
      <c r="E143" s="376"/>
    </row>
    <row r="144" spans="1:5" x14ac:dyDescent="0.25">
      <c r="A144" s="458"/>
      <c r="B144" s="458"/>
      <c r="C144" s="458"/>
      <c r="D144" s="458"/>
      <c r="E144" s="376"/>
    </row>
    <row r="145" spans="1:5" x14ac:dyDescent="0.25">
      <c r="A145" s="458"/>
      <c r="B145" s="458"/>
      <c r="C145" s="458"/>
      <c r="D145" s="458"/>
      <c r="E145" s="376"/>
    </row>
    <row r="146" spans="1:5" x14ac:dyDescent="0.25">
      <c r="A146" s="458"/>
      <c r="B146" s="458"/>
      <c r="C146" s="458"/>
      <c r="D146" s="458"/>
      <c r="E146" s="376"/>
    </row>
    <row r="147" spans="1:5" x14ac:dyDescent="0.25">
      <c r="A147" s="458"/>
      <c r="B147" s="458"/>
      <c r="C147" s="458"/>
      <c r="D147" s="458"/>
      <c r="E147" s="376"/>
    </row>
    <row r="148" spans="1:5" x14ac:dyDescent="0.25">
      <c r="A148" s="458"/>
      <c r="B148" s="458"/>
      <c r="C148" s="458"/>
      <c r="D148" s="458"/>
      <c r="E148" s="376"/>
    </row>
    <row r="149" spans="1:5" x14ac:dyDescent="0.25">
      <c r="A149" s="458"/>
      <c r="B149" s="458"/>
      <c r="C149" s="458"/>
      <c r="D149" s="458"/>
      <c r="E149" s="376"/>
    </row>
    <row r="150" spans="1:5" x14ac:dyDescent="0.25">
      <c r="A150" s="458"/>
      <c r="B150" s="458"/>
      <c r="C150" s="458"/>
      <c r="D150" s="458"/>
      <c r="E150" s="376"/>
    </row>
    <row r="151" spans="1:5" x14ac:dyDescent="0.25">
      <c r="A151" s="458"/>
      <c r="B151" s="458"/>
      <c r="C151" s="458"/>
      <c r="D151" s="458"/>
      <c r="E151" s="376"/>
    </row>
    <row r="152" spans="1:5" x14ac:dyDescent="0.25">
      <c r="A152" s="458"/>
      <c r="B152" s="458"/>
      <c r="C152" s="458"/>
      <c r="D152" s="458"/>
      <c r="E152" s="376"/>
    </row>
    <row r="153" spans="1:5" x14ac:dyDescent="0.25">
      <c r="A153" s="458"/>
      <c r="B153" s="458"/>
      <c r="C153" s="458"/>
      <c r="D153" s="458"/>
      <c r="E153" s="376"/>
    </row>
    <row r="154" spans="1:5" x14ac:dyDescent="0.25">
      <c r="A154" s="458"/>
      <c r="B154" s="458"/>
      <c r="C154" s="458"/>
      <c r="D154" s="458"/>
      <c r="E154" s="376"/>
    </row>
    <row r="155" spans="1:5" x14ac:dyDescent="0.25">
      <c r="A155" s="458"/>
      <c r="B155" s="458"/>
      <c r="C155" s="458"/>
      <c r="D155" s="458"/>
      <c r="E155" s="376"/>
    </row>
    <row r="156" spans="1:5" x14ac:dyDescent="0.25">
      <c r="A156" s="458"/>
      <c r="B156" s="458"/>
      <c r="C156" s="458"/>
      <c r="D156" s="458"/>
      <c r="E156" s="376"/>
    </row>
    <row r="157" spans="1:5" x14ac:dyDescent="0.25">
      <c r="A157" s="458"/>
      <c r="B157" s="458"/>
      <c r="C157" s="458"/>
      <c r="D157" s="458"/>
      <c r="E157" s="376"/>
    </row>
    <row r="158" spans="1:5" x14ac:dyDescent="0.25">
      <c r="A158" s="458"/>
      <c r="B158" s="458"/>
      <c r="C158" s="458"/>
      <c r="D158" s="458"/>
      <c r="E158" s="376"/>
    </row>
    <row r="159" spans="1:5" x14ac:dyDescent="0.25">
      <c r="A159" s="458"/>
      <c r="B159" s="458"/>
      <c r="C159" s="458"/>
      <c r="D159" s="458"/>
      <c r="E159" s="376"/>
    </row>
    <row r="160" spans="1:5" x14ac:dyDescent="0.25">
      <c r="A160" s="458"/>
      <c r="B160" s="458"/>
      <c r="C160" s="458"/>
      <c r="D160" s="458"/>
      <c r="E160" s="376"/>
    </row>
    <row r="161" spans="1:5" x14ac:dyDescent="0.25">
      <c r="A161" s="458"/>
      <c r="B161" s="458"/>
      <c r="C161" s="458"/>
      <c r="D161" s="458"/>
      <c r="E161" s="376"/>
    </row>
    <row r="162" spans="1:5" x14ac:dyDescent="0.25">
      <c r="A162" s="458"/>
      <c r="B162" s="458"/>
      <c r="C162" s="458"/>
      <c r="D162" s="458"/>
      <c r="E162" s="376"/>
    </row>
    <row r="163" spans="1:5" x14ac:dyDescent="0.25">
      <c r="A163" s="458"/>
      <c r="B163" s="458"/>
      <c r="C163" s="458"/>
      <c r="D163" s="458"/>
      <c r="E163" s="376"/>
    </row>
    <row r="164" spans="1:5" x14ac:dyDescent="0.25">
      <c r="A164" s="458"/>
      <c r="B164" s="458"/>
      <c r="C164" s="458"/>
      <c r="D164" s="458"/>
      <c r="E164" s="376"/>
    </row>
    <row r="165" spans="1:5" x14ac:dyDescent="0.25">
      <c r="A165" s="458"/>
      <c r="B165" s="458"/>
      <c r="C165" s="458"/>
      <c r="D165" s="458"/>
      <c r="E165" s="376"/>
    </row>
    <row r="166" spans="1:5" x14ac:dyDescent="0.25">
      <c r="A166" s="458"/>
      <c r="B166" s="458"/>
      <c r="C166" s="458"/>
      <c r="D166" s="458"/>
      <c r="E166" s="376"/>
    </row>
    <row r="167" spans="1:5" x14ac:dyDescent="0.25">
      <c r="A167" s="458"/>
      <c r="B167" s="458"/>
      <c r="C167" s="458"/>
      <c r="D167" s="458"/>
      <c r="E167" s="376"/>
    </row>
    <row r="168" spans="1:5" x14ac:dyDescent="0.25">
      <c r="A168" s="458"/>
      <c r="B168" s="458"/>
      <c r="C168" s="458"/>
      <c r="D168" s="458"/>
      <c r="E168" s="376"/>
    </row>
    <row r="169" spans="1:5" x14ac:dyDescent="0.25">
      <c r="A169" s="458"/>
      <c r="B169" s="458"/>
      <c r="C169" s="458"/>
      <c r="D169" s="458"/>
      <c r="E169" s="376"/>
    </row>
    <row r="170" spans="1:5" x14ac:dyDescent="0.25">
      <c r="A170" s="458"/>
      <c r="B170" s="458"/>
      <c r="C170" s="458"/>
      <c r="D170" s="458"/>
      <c r="E170" s="376"/>
    </row>
    <row r="171" spans="1:5" x14ac:dyDescent="0.25">
      <c r="A171" s="458"/>
      <c r="B171" s="458"/>
      <c r="C171" s="458"/>
      <c r="D171" s="458"/>
      <c r="E171" s="376"/>
    </row>
    <row r="172" spans="1:5" x14ac:dyDescent="0.25">
      <c r="A172" s="458"/>
      <c r="B172" s="458"/>
      <c r="C172" s="458"/>
      <c r="D172" s="458"/>
      <c r="E172" s="376"/>
    </row>
    <row r="173" spans="1:5" x14ac:dyDescent="0.25">
      <c r="A173" s="458"/>
      <c r="B173" s="458"/>
      <c r="C173" s="458"/>
      <c r="D173" s="458"/>
      <c r="E173" s="376"/>
    </row>
    <row r="174" spans="1:5" x14ac:dyDescent="0.25">
      <c r="A174" s="458"/>
      <c r="B174" s="458"/>
      <c r="C174" s="458"/>
      <c r="D174" s="458"/>
      <c r="E174" s="376"/>
    </row>
    <row r="175" spans="1:5" x14ac:dyDescent="0.25">
      <c r="A175" s="458"/>
      <c r="B175" s="458"/>
      <c r="C175" s="458"/>
      <c r="D175" s="458"/>
      <c r="E175" s="376"/>
    </row>
    <row r="176" spans="1:5" x14ac:dyDescent="0.25">
      <c r="A176" s="458"/>
      <c r="B176" s="458"/>
      <c r="C176" s="458"/>
      <c r="D176" s="458"/>
      <c r="E176" s="376"/>
    </row>
    <row r="177" spans="1:5" x14ac:dyDescent="0.25">
      <c r="A177" s="458"/>
      <c r="B177" s="458"/>
      <c r="C177" s="458"/>
      <c r="D177" s="458"/>
      <c r="E177" s="376"/>
    </row>
    <row r="178" spans="1:5" x14ac:dyDescent="0.25">
      <c r="A178" s="458"/>
      <c r="B178" s="458"/>
      <c r="C178" s="458"/>
      <c r="D178" s="458"/>
      <c r="E178" s="376"/>
    </row>
    <row r="179" spans="1:5" x14ac:dyDescent="0.25">
      <c r="A179" s="458"/>
      <c r="B179" s="458"/>
      <c r="C179" s="458"/>
      <c r="D179" s="458"/>
      <c r="E179" s="376"/>
    </row>
    <row r="180" spans="1:5" x14ac:dyDescent="0.25">
      <c r="A180" s="458"/>
      <c r="B180" s="458"/>
      <c r="C180" s="458"/>
      <c r="D180" s="458"/>
      <c r="E180" s="376"/>
    </row>
    <row r="181" spans="1:5" x14ac:dyDescent="0.25">
      <c r="A181" s="458"/>
      <c r="B181" s="458"/>
      <c r="C181" s="458"/>
      <c r="D181" s="458"/>
      <c r="E181" s="376"/>
    </row>
    <row r="182" spans="1:5" x14ac:dyDescent="0.25">
      <c r="A182" s="458"/>
      <c r="B182" s="458"/>
      <c r="C182" s="458"/>
      <c r="D182" s="458"/>
      <c r="E182" s="376"/>
    </row>
    <row r="183" spans="1:5" x14ac:dyDescent="0.25">
      <c r="A183" s="458"/>
      <c r="B183" s="458"/>
      <c r="C183" s="458"/>
      <c r="D183" s="458"/>
      <c r="E183" s="376"/>
    </row>
    <row r="184" spans="1:5" x14ac:dyDescent="0.25">
      <c r="A184" s="458"/>
      <c r="B184" s="458"/>
      <c r="C184" s="458"/>
      <c r="D184" s="458"/>
      <c r="E184" s="376"/>
    </row>
    <row r="185" spans="1:5" x14ac:dyDescent="0.25">
      <c r="A185" s="458"/>
      <c r="B185" s="458"/>
      <c r="C185" s="458"/>
      <c r="D185" s="458"/>
      <c r="E185" s="376"/>
    </row>
    <row r="186" spans="1:5" x14ac:dyDescent="0.25">
      <c r="A186" s="458"/>
      <c r="B186" s="458"/>
      <c r="C186" s="458"/>
      <c r="D186" s="458"/>
      <c r="E186" s="376"/>
    </row>
    <row r="187" spans="1:5" x14ac:dyDescent="0.25">
      <c r="A187" s="458"/>
      <c r="B187" s="458"/>
      <c r="C187" s="458"/>
      <c r="D187" s="458"/>
      <c r="E187" s="376"/>
    </row>
    <row r="188" spans="1:5" x14ac:dyDescent="0.25">
      <c r="A188" s="458"/>
      <c r="B188" s="458"/>
      <c r="C188" s="458"/>
      <c r="D188" s="458"/>
      <c r="E188" s="376"/>
    </row>
    <row r="189" spans="1:5" x14ac:dyDescent="0.25">
      <c r="A189" s="458"/>
      <c r="B189" s="458"/>
      <c r="C189" s="458"/>
      <c r="D189" s="458"/>
      <c r="E189" s="376"/>
    </row>
    <row r="190" spans="1:5" x14ac:dyDescent="0.25">
      <c r="A190" s="458"/>
      <c r="B190" s="458"/>
      <c r="C190" s="458"/>
      <c r="D190" s="458"/>
      <c r="E190" s="376"/>
    </row>
    <row r="191" spans="1:5" x14ac:dyDescent="0.25">
      <c r="A191" s="458"/>
      <c r="B191" s="458"/>
      <c r="C191" s="458"/>
      <c r="D191" s="458"/>
      <c r="E191" s="376"/>
    </row>
    <row r="192" spans="1:5" x14ac:dyDescent="0.25">
      <c r="A192" s="458"/>
      <c r="B192" s="458"/>
      <c r="C192" s="458"/>
      <c r="D192" s="458"/>
      <c r="E192" s="376"/>
    </row>
    <row r="193" spans="1:5" x14ac:dyDescent="0.25">
      <c r="A193" s="458"/>
      <c r="B193" s="458"/>
      <c r="C193" s="458"/>
      <c r="D193" s="458"/>
      <c r="E193" s="376"/>
    </row>
    <row r="194" spans="1:5" x14ac:dyDescent="0.25">
      <c r="A194" s="458"/>
      <c r="B194" s="458"/>
      <c r="C194" s="458"/>
      <c r="D194" s="458"/>
      <c r="E194" s="376"/>
    </row>
    <row r="195" spans="1:5" x14ac:dyDescent="0.25">
      <c r="A195" s="458"/>
      <c r="B195" s="458"/>
      <c r="C195" s="458"/>
      <c r="D195" s="458"/>
      <c r="E195" s="376"/>
    </row>
    <row r="196" spans="1:5" x14ac:dyDescent="0.25">
      <c r="A196" s="458"/>
      <c r="B196" s="458"/>
      <c r="C196" s="458"/>
      <c r="D196" s="458"/>
      <c r="E196" s="376"/>
    </row>
    <row r="197" spans="1:5" x14ac:dyDescent="0.25">
      <c r="A197" s="458"/>
      <c r="B197" s="458"/>
      <c r="C197" s="458"/>
      <c r="D197" s="458"/>
      <c r="E197" s="376"/>
    </row>
    <row r="198" spans="1:5" x14ac:dyDescent="0.25">
      <c r="A198" s="458"/>
      <c r="B198" s="458"/>
      <c r="C198" s="458"/>
      <c r="D198" s="458"/>
      <c r="E198" s="376"/>
    </row>
    <row r="199" spans="1:5" x14ac:dyDescent="0.25">
      <c r="A199" s="458"/>
      <c r="B199" s="458"/>
      <c r="C199" s="458"/>
      <c r="D199" s="458"/>
      <c r="E199" s="376"/>
    </row>
    <row r="200" spans="1:5" x14ac:dyDescent="0.25">
      <c r="A200" s="458"/>
      <c r="B200" s="458"/>
      <c r="C200" s="458"/>
      <c r="D200" s="458"/>
      <c r="E200" s="376"/>
    </row>
    <row r="201" spans="1:5" x14ac:dyDescent="0.25">
      <c r="A201" s="458"/>
      <c r="B201" s="458"/>
      <c r="C201" s="458"/>
      <c r="D201" s="458"/>
      <c r="E201" s="376"/>
    </row>
    <row r="202" spans="1:5" x14ac:dyDescent="0.25">
      <c r="A202" s="458"/>
      <c r="B202" s="458"/>
      <c r="C202" s="458"/>
      <c r="D202" s="458"/>
      <c r="E202" s="376"/>
    </row>
    <row r="203" spans="1:5" x14ac:dyDescent="0.25">
      <c r="A203" s="458"/>
      <c r="B203" s="458"/>
      <c r="C203" s="458"/>
      <c r="D203" s="458"/>
      <c r="E203" s="376"/>
    </row>
    <row r="204" spans="1:5" x14ac:dyDescent="0.25">
      <c r="A204" s="458"/>
      <c r="B204" s="458"/>
      <c r="C204" s="458"/>
      <c r="D204" s="458"/>
      <c r="E204" s="376"/>
    </row>
    <row r="205" spans="1:5" x14ac:dyDescent="0.25">
      <c r="A205" s="458"/>
      <c r="B205" s="458"/>
      <c r="C205" s="458"/>
      <c r="D205" s="458"/>
      <c r="E205" s="376"/>
    </row>
    <row r="206" spans="1:5" x14ac:dyDescent="0.25">
      <c r="A206" s="458"/>
      <c r="B206" s="458"/>
      <c r="C206" s="458"/>
      <c r="D206" s="458"/>
      <c r="E206" s="376"/>
    </row>
    <row r="207" spans="1:5" x14ac:dyDescent="0.25">
      <c r="A207" s="458"/>
      <c r="B207" s="458"/>
      <c r="C207" s="458"/>
      <c r="D207" s="458"/>
      <c r="E207" s="376"/>
    </row>
    <row r="208" spans="1:5" x14ac:dyDescent="0.25">
      <c r="A208" s="458"/>
      <c r="B208" s="458"/>
      <c r="C208" s="458"/>
      <c r="D208" s="458"/>
      <c r="E208" s="376"/>
    </row>
    <row r="209" spans="1:5" x14ac:dyDescent="0.25">
      <c r="A209" s="458"/>
      <c r="B209" s="458"/>
      <c r="C209" s="458"/>
      <c r="D209" s="458"/>
      <c r="E209" s="376"/>
    </row>
    <row r="210" spans="1:5" x14ac:dyDescent="0.25">
      <c r="A210" s="458"/>
      <c r="B210" s="458"/>
      <c r="C210" s="458"/>
      <c r="D210" s="458"/>
      <c r="E210" s="376"/>
    </row>
    <row r="211" spans="1:5" x14ac:dyDescent="0.25">
      <c r="A211" s="458"/>
      <c r="B211" s="458"/>
      <c r="C211" s="458"/>
      <c r="D211" s="458"/>
      <c r="E211" s="376"/>
    </row>
    <row r="212" spans="1:5" x14ac:dyDescent="0.25">
      <c r="A212" s="458"/>
      <c r="B212" s="458"/>
      <c r="C212" s="458"/>
      <c r="D212" s="458"/>
      <c r="E212" s="376"/>
    </row>
    <row r="213" spans="1:5" x14ac:dyDescent="0.25">
      <c r="A213" s="458"/>
      <c r="B213" s="458"/>
      <c r="C213" s="458"/>
      <c r="D213" s="458"/>
      <c r="E213" s="376"/>
    </row>
    <row r="214" spans="1:5" x14ac:dyDescent="0.25">
      <c r="A214" s="458"/>
      <c r="B214" s="458"/>
      <c r="C214" s="458"/>
      <c r="D214" s="458"/>
      <c r="E214" s="376"/>
    </row>
    <row r="215" spans="1:5" x14ac:dyDescent="0.25">
      <c r="A215" s="458"/>
      <c r="B215" s="458"/>
      <c r="C215" s="458"/>
      <c r="D215" s="458"/>
      <c r="E215" s="376"/>
    </row>
    <row r="216" spans="1:5" x14ac:dyDescent="0.25">
      <c r="A216" s="458"/>
      <c r="B216" s="458"/>
      <c r="C216" s="458"/>
      <c r="D216" s="458"/>
      <c r="E216" s="376"/>
    </row>
    <row r="217" spans="1:5" x14ac:dyDescent="0.25">
      <c r="A217" s="458"/>
      <c r="B217" s="458"/>
      <c r="C217" s="458"/>
      <c r="D217" s="458"/>
      <c r="E217" s="376"/>
    </row>
    <row r="218" spans="1:5" x14ac:dyDescent="0.25">
      <c r="A218" s="458"/>
      <c r="B218" s="458"/>
      <c r="C218" s="458"/>
      <c r="D218" s="458"/>
      <c r="E218" s="376"/>
    </row>
    <row r="219" spans="1:5" x14ac:dyDescent="0.25">
      <c r="A219" s="458"/>
      <c r="B219" s="458"/>
      <c r="C219" s="458"/>
      <c r="D219" s="458"/>
      <c r="E219" s="376"/>
    </row>
    <row r="220" spans="1:5" x14ac:dyDescent="0.25">
      <c r="A220" s="458"/>
      <c r="B220" s="458"/>
      <c r="C220" s="458"/>
      <c r="D220" s="458"/>
      <c r="E220" s="376"/>
    </row>
    <row r="221" spans="1:5" x14ac:dyDescent="0.25">
      <c r="A221" s="458"/>
      <c r="B221" s="458"/>
      <c r="C221" s="458"/>
      <c r="D221" s="458"/>
      <c r="E221" s="376"/>
    </row>
    <row r="222" spans="1:5" x14ac:dyDescent="0.25">
      <c r="A222" s="458"/>
      <c r="B222" s="458"/>
      <c r="C222" s="458"/>
      <c r="D222" s="458"/>
      <c r="E222" s="376"/>
    </row>
    <row r="223" spans="1:5" x14ac:dyDescent="0.25">
      <c r="A223" s="458"/>
      <c r="B223" s="458"/>
      <c r="C223" s="458"/>
      <c r="D223" s="458"/>
      <c r="E223" s="376"/>
    </row>
    <row r="224" spans="1:5" x14ac:dyDescent="0.25">
      <c r="A224" s="458"/>
      <c r="B224" s="458"/>
      <c r="C224" s="458"/>
      <c r="D224" s="458"/>
      <c r="E224" s="376"/>
    </row>
    <row r="225" spans="1:5" x14ac:dyDescent="0.25">
      <c r="A225" s="458"/>
      <c r="B225" s="458"/>
      <c r="C225" s="458"/>
      <c r="D225" s="458"/>
      <c r="E225" s="376"/>
    </row>
    <row r="226" spans="1:5" x14ac:dyDescent="0.25">
      <c r="A226" s="458"/>
      <c r="B226" s="458"/>
      <c r="C226" s="458"/>
      <c r="D226" s="458"/>
      <c r="E226" s="376"/>
    </row>
    <row r="227" spans="1:5" x14ac:dyDescent="0.25">
      <c r="A227" s="458"/>
      <c r="B227" s="458"/>
      <c r="C227" s="458"/>
      <c r="D227" s="458"/>
      <c r="E227" s="376"/>
    </row>
    <row r="228" spans="1:5" x14ac:dyDescent="0.25">
      <c r="A228" s="458"/>
      <c r="B228" s="458"/>
      <c r="C228" s="458"/>
      <c r="D228" s="458"/>
      <c r="E228" s="376"/>
    </row>
    <row r="229" spans="1:5" x14ac:dyDescent="0.25">
      <c r="A229" s="458"/>
      <c r="B229" s="458"/>
      <c r="C229" s="458"/>
      <c r="D229" s="458"/>
      <c r="E229" s="376"/>
    </row>
    <row r="230" spans="1:5" x14ac:dyDescent="0.25">
      <c r="A230" s="458"/>
      <c r="B230" s="458"/>
      <c r="C230" s="458"/>
      <c r="D230" s="458"/>
      <c r="E230" s="376"/>
    </row>
    <row r="231" spans="1:5" x14ac:dyDescent="0.25">
      <c r="A231" s="458"/>
      <c r="B231" s="458"/>
      <c r="C231" s="458"/>
      <c r="D231" s="458"/>
      <c r="E231" s="376"/>
    </row>
    <row r="232" spans="1:5" x14ac:dyDescent="0.25">
      <c r="A232" s="458"/>
      <c r="B232" s="458"/>
      <c r="C232" s="458"/>
      <c r="D232" s="458"/>
      <c r="E232" s="376"/>
    </row>
    <row r="233" spans="1:5" x14ac:dyDescent="0.25">
      <c r="A233" s="458"/>
      <c r="B233" s="458"/>
      <c r="C233" s="458"/>
      <c r="D233" s="458"/>
      <c r="E233" s="376"/>
    </row>
    <row r="234" spans="1:5" x14ac:dyDescent="0.25">
      <c r="A234" s="458"/>
      <c r="B234" s="458"/>
      <c r="C234" s="458"/>
      <c r="D234" s="458"/>
      <c r="E234" s="376"/>
    </row>
    <row r="235" spans="1:5" x14ac:dyDescent="0.25">
      <c r="A235" s="458"/>
      <c r="B235" s="458"/>
      <c r="C235" s="458"/>
      <c r="D235" s="458"/>
      <c r="E235" s="376"/>
    </row>
    <row r="236" spans="1:5" x14ac:dyDescent="0.25">
      <c r="A236" s="458"/>
      <c r="B236" s="458"/>
      <c r="C236" s="458"/>
      <c r="D236" s="458"/>
      <c r="E236" s="376"/>
    </row>
    <row r="237" spans="1:5" x14ac:dyDescent="0.25">
      <c r="A237" s="458"/>
      <c r="B237" s="458"/>
      <c r="C237" s="458"/>
      <c r="D237" s="458"/>
      <c r="E237" s="376"/>
    </row>
    <row r="238" spans="1:5" x14ac:dyDescent="0.25">
      <c r="A238" s="458"/>
      <c r="B238" s="458"/>
      <c r="C238" s="458"/>
      <c r="D238" s="458"/>
      <c r="E238" s="376"/>
    </row>
    <row r="239" spans="1:5" x14ac:dyDescent="0.25">
      <c r="A239" s="458"/>
      <c r="B239" s="458"/>
      <c r="C239" s="458"/>
      <c r="D239" s="458"/>
      <c r="E239" s="376"/>
    </row>
    <row r="240" spans="1:5" x14ac:dyDescent="0.25">
      <c r="A240" s="458"/>
      <c r="B240" s="458"/>
      <c r="C240" s="458"/>
      <c r="D240" s="458"/>
      <c r="E240" s="376"/>
    </row>
    <row r="241" spans="1:5" x14ac:dyDescent="0.25">
      <c r="A241" s="458"/>
      <c r="B241" s="458"/>
      <c r="C241" s="458"/>
      <c r="D241" s="458"/>
      <c r="E241" s="376"/>
    </row>
    <row r="242" spans="1:5" x14ac:dyDescent="0.25">
      <c r="A242" s="458"/>
      <c r="B242" s="458"/>
      <c r="C242" s="458"/>
      <c r="D242" s="458"/>
      <c r="E242" s="376"/>
    </row>
    <row r="243" spans="1:5" x14ac:dyDescent="0.25">
      <c r="A243" s="458"/>
      <c r="B243" s="458"/>
      <c r="C243" s="458"/>
      <c r="D243" s="458"/>
      <c r="E243" s="376"/>
    </row>
    <row r="244" spans="1:5" x14ac:dyDescent="0.25">
      <c r="A244" s="458"/>
      <c r="B244" s="458"/>
      <c r="C244" s="458"/>
      <c r="D244" s="458"/>
      <c r="E244" s="376"/>
    </row>
    <row r="245" spans="1:5" x14ac:dyDescent="0.25">
      <c r="A245" s="458"/>
      <c r="B245" s="458"/>
      <c r="C245" s="458"/>
      <c r="D245" s="458"/>
      <c r="E245" s="376"/>
    </row>
    <row r="246" spans="1:5" x14ac:dyDescent="0.25">
      <c r="A246" s="458"/>
      <c r="B246" s="458"/>
      <c r="C246" s="458"/>
      <c r="D246" s="458"/>
      <c r="E246" s="376"/>
    </row>
    <row r="247" spans="1:5" x14ac:dyDescent="0.25">
      <c r="A247" s="458"/>
      <c r="B247" s="458"/>
      <c r="C247" s="458"/>
      <c r="D247" s="458"/>
      <c r="E247" s="376"/>
    </row>
    <row r="248" spans="1:5" x14ac:dyDescent="0.25">
      <c r="A248" s="458"/>
      <c r="B248" s="458"/>
      <c r="C248" s="458"/>
      <c r="D248" s="458"/>
      <c r="E248" s="376"/>
    </row>
    <row r="249" spans="1:5" x14ac:dyDescent="0.25">
      <c r="A249" s="458"/>
      <c r="B249" s="458"/>
      <c r="C249" s="458"/>
      <c r="D249" s="458"/>
      <c r="E249" s="376"/>
    </row>
    <row r="250" spans="1:5" x14ac:dyDescent="0.25">
      <c r="A250" s="458"/>
      <c r="B250" s="458"/>
      <c r="C250" s="458"/>
      <c r="D250" s="458"/>
      <c r="E250" s="376"/>
    </row>
    <row r="251" spans="1:5" x14ac:dyDescent="0.25">
      <c r="A251" s="458"/>
      <c r="B251" s="458"/>
      <c r="C251" s="458"/>
      <c r="D251" s="458"/>
      <c r="E251" s="376"/>
    </row>
    <row r="252" spans="1:5" x14ac:dyDescent="0.25">
      <c r="A252" s="458"/>
      <c r="B252" s="458"/>
      <c r="C252" s="458"/>
      <c r="D252" s="458"/>
      <c r="E252" s="376"/>
    </row>
    <row r="253" spans="1:5" x14ac:dyDescent="0.25">
      <c r="A253" s="458"/>
      <c r="B253" s="458"/>
      <c r="C253" s="458"/>
      <c r="D253" s="458"/>
      <c r="E253" s="376"/>
    </row>
    <row r="254" spans="1:5" x14ac:dyDescent="0.25">
      <c r="A254" s="458"/>
      <c r="B254" s="458"/>
      <c r="C254" s="458"/>
      <c r="D254" s="458"/>
      <c r="E254" s="376"/>
    </row>
    <row r="255" spans="1:5" x14ac:dyDescent="0.25">
      <c r="A255" s="458"/>
      <c r="B255" s="458"/>
      <c r="C255" s="458"/>
      <c r="D255" s="458"/>
      <c r="E255" s="376"/>
    </row>
    <row r="256" spans="1:5" x14ac:dyDescent="0.25">
      <c r="A256" s="458"/>
      <c r="B256" s="458"/>
      <c r="C256" s="458"/>
      <c r="D256" s="458"/>
      <c r="E256" s="376"/>
    </row>
    <row r="257" spans="1:5" x14ac:dyDescent="0.25">
      <c r="A257" s="458"/>
      <c r="B257" s="458"/>
      <c r="C257" s="458"/>
      <c r="D257" s="458"/>
      <c r="E257" s="376"/>
    </row>
    <row r="258" spans="1:5" x14ac:dyDescent="0.25">
      <c r="A258" s="458"/>
      <c r="B258" s="458"/>
      <c r="C258" s="458"/>
      <c r="D258" s="458"/>
      <c r="E258" s="376"/>
    </row>
    <row r="259" spans="1:5" x14ac:dyDescent="0.25">
      <c r="A259" s="458"/>
      <c r="B259" s="458"/>
      <c r="C259" s="458"/>
      <c r="D259" s="458"/>
      <c r="E259" s="376"/>
    </row>
    <row r="260" spans="1:5" x14ac:dyDescent="0.25">
      <c r="A260" s="458"/>
      <c r="B260" s="458"/>
      <c r="C260" s="458"/>
      <c r="D260" s="458"/>
      <c r="E260" s="376"/>
    </row>
    <row r="261" spans="1:5" x14ac:dyDescent="0.25">
      <c r="A261" s="458"/>
      <c r="B261" s="458"/>
      <c r="C261" s="458"/>
      <c r="D261" s="458"/>
      <c r="E261" s="376"/>
    </row>
    <row r="262" spans="1:5" x14ac:dyDescent="0.25">
      <c r="A262" s="458"/>
      <c r="B262" s="458"/>
      <c r="C262" s="458"/>
      <c r="D262" s="458"/>
      <c r="E262" s="376"/>
    </row>
    <row r="263" spans="1:5" x14ac:dyDescent="0.25">
      <c r="A263" s="458"/>
      <c r="B263" s="458"/>
      <c r="C263" s="458"/>
      <c r="D263" s="458"/>
      <c r="E263" s="376"/>
    </row>
    <row r="264" spans="1:5" x14ac:dyDescent="0.25">
      <c r="A264" s="458"/>
      <c r="B264" s="458"/>
      <c r="C264" s="458"/>
      <c r="D264" s="458"/>
      <c r="E264" s="376"/>
    </row>
    <row r="265" spans="1:5" x14ac:dyDescent="0.25">
      <c r="A265" s="458"/>
      <c r="B265" s="458"/>
      <c r="C265" s="458"/>
      <c r="D265" s="458"/>
      <c r="E265" s="376"/>
    </row>
    <row r="266" spans="1:5" x14ac:dyDescent="0.25">
      <c r="A266" s="458"/>
      <c r="B266" s="458"/>
      <c r="C266" s="458"/>
      <c r="D266" s="458"/>
      <c r="E266" s="376"/>
    </row>
    <row r="267" spans="1:5" x14ac:dyDescent="0.25">
      <c r="A267" s="458"/>
      <c r="B267" s="458"/>
      <c r="C267" s="458"/>
      <c r="D267" s="458"/>
      <c r="E267" s="376"/>
    </row>
    <row r="268" spans="1:5" x14ac:dyDescent="0.25">
      <c r="A268" s="458"/>
      <c r="B268" s="458"/>
      <c r="C268" s="458"/>
      <c r="D268" s="458"/>
      <c r="E268" s="376"/>
    </row>
    <row r="269" spans="1:5" x14ac:dyDescent="0.25">
      <c r="A269" s="458"/>
      <c r="B269" s="458"/>
      <c r="C269" s="458"/>
      <c r="D269" s="458"/>
      <c r="E269" s="376"/>
    </row>
    <row r="270" spans="1:5" x14ac:dyDescent="0.25">
      <c r="A270" s="458"/>
      <c r="B270" s="458"/>
      <c r="C270" s="458"/>
      <c r="D270" s="458"/>
      <c r="E270" s="376"/>
    </row>
    <row r="271" spans="1:5" x14ac:dyDescent="0.25">
      <c r="A271" s="458"/>
      <c r="B271" s="458"/>
      <c r="C271" s="458"/>
      <c r="D271" s="458"/>
      <c r="E271" s="376"/>
    </row>
    <row r="272" spans="1:5" x14ac:dyDescent="0.25">
      <c r="A272" s="458"/>
      <c r="B272" s="458"/>
      <c r="C272" s="458"/>
      <c r="D272" s="458"/>
      <c r="E272" s="376"/>
    </row>
    <row r="273" spans="1:5" x14ac:dyDescent="0.25">
      <c r="A273" s="458"/>
      <c r="B273" s="458"/>
      <c r="C273" s="458"/>
      <c r="D273" s="458"/>
      <c r="E273" s="376"/>
    </row>
    <row r="274" spans="1:5" x14ac:dyDescent="0.25">
      <c r="A274" s="458"/>
      <c r="B274" s="458"/>
      <c r="C274" s="458"/>
      <c r="D274" s="458"/>
      <c r="E274" s="376"/>
    </row>
    <row r="275" spans="1:5" x14ac:dyDescent="0.25">
      <c r="A275" s="458"/>
      <c r="B275" s="458"/>
      <c r="C275" s="458"/>
      <c r="D275" s="458"/>
      <c r="E275" s="376"/>
    </row>
    <row r="276" spans="1:5" x14ac:dyDescent="0.25">
      <c r="A276" s="458"/>
      <c r="B276" s="458"/>
      <c r="C276" s="458"/>
      <c r="D276" s="458"/>
      <c r="E276" s="376"/>
    </row>
    <row r="277" spans="1:5" x14ac:dyDescent="0.25">
      <c r="A277" s="458"/>
      <c r="B277" s="458"/>
      <c r="C277" s="458"/>
      <c r="D277" s="458"/>
      <c r="E277" s="376"/>
    </row>
    <row r="278" spans="1:5" x14ac:dyDescent="0.25">
      <c r="A278" s="458"/>
      <c r="B278" s="458"/>
      <c r="C278" s="458"/>
      <c r="D278" s="458"/>
      <c r="E278" s="376"/>
    </row>
    <row r="279" spans="1:5" x14ac:dyDescent="0.25">
      <c r="A279" s="458"/>
      <c r="B279" s="458"/>
      <c r="C279" s="458"/>
      <c r="D279" s="458"/>
      <c r="E279" s="376"/>
    </row>
    <row r="280" spans="1:5" x14ac:dyDescent="0.25">
      <c r="A280" s="458"/>
      <c r="B280" s="458"/>
      <c r="C280" s="458"/>
      <c r="D280" s="458"/>
      <c r="E280" s="376"/>
    </row>
    <row r="281" spans="1:5" x14ac:dyDescent="0.25">
      <c r="A281" s="458"/>
      <c r="B281" s="458"/>
      <c r="C281" s="458"/>
      <c r="D281" s="458"/>
      <c r="E281" s="376"/>
    </row>
    <row r="282" spans="1:5" x14ac:dyDescent="0.25">
      <c r="A282" s="458"/>
      <c r="B282" s="458"/>
      <c r="C282" s="458"/>
      <c r="D282" s="458"/>
      <c r="E282" s="376"/>
    </row>
    <row r="283" spans="1:5" x14ac:dyDescent="0.25">
      <c r="A283" s="458"/>
      <c r="B283" s="458"/>
      <c r="C283" s="458"/>
      <c r="D283" s="458"/>
      <c r="E283" s="376"/>
    </row>
    <row r="284" spans="1:5" x14ac:dyDescent="0.25">
      <c r="A284" s="458"/>
      <c r="B284" s="458"/>
      <c r="C284" s="458"/>
      <c r="D284" s="458"/>
      <c r="E284" s="376"/>
    </row>
    <row r="285" spans="1:5" x14ac:dyDescent="0.25">
      <c r="A285" s="458"/>
      <c r="B285" s="458"/>
      <c r="C285" s="458"/>
      <c r="D285" s="458"/>
      <c r="E285" s="376"/>
    </row>
    <row r="286" spans="1:5" x14ac:dyDescent="0.25">
      <c r="A286" s="458"/>
      <c r="B286" s="458"/>
      <c r="C286" s="458"/>
      <c r="D286" s="458"/>
      <c r="E286" s="376"/>
    </row>
    <row r="287" spans="1:5" x14ac:dyDescent="0.25">
      <c r="A287" s="458"/>
      <c r="B287" s="458"/>
      <c r="C287" s="458"/>
      <c r="D287" s="458"/>
      <c r="E287" s="376"/>
    </row>
    <row r="288" spans="1:5" x14ac:dyDescent="0.25">
      <c r="A288" s="458"/>
      <c r="B288" s="458"/>
      <c r="C288" s="458"/>
      <c r="D288" s="458"/>
      <c r="E288" s="376"/>
    </row>
    <row r="289" spans="1:5" x14ac:dyDescent="0.25">
      <c r="A289" s="458"/>
      <c r="B289" s="458"/>
      <c r="C289" s="458"/>
      <c r="D289" s="458"/>
      <c r="E289" s="376"/>
    </row>
    <row r="290" spans="1:5" x14ac:dyDescent="0.25">
      <c r="A290" s="458"/>
      <c r="B290" s="458"/>
      <c r="C290" s="458"/>
      <c r="D290" s="458"/>
      <c r="E290" s="376"/>
    </row>
    <row r="291" spans="1:5" x14ac:dyDescent="0.25">
      <c r="A291" s="458"/>
      <c r="B291" s="458"/>
      <c r="C291" s="458"/>
      <c r="D291" s="458"/>
      <c r="E291" s="376"/>
    </row>
    <row r="292" spans="1:5" x14ac:dyDescent="0.25">
      <c r="A292" s="458"/>
      <c r="B292" s="458"/>
      <c r="C292" s="458"/>
      <c r="D292" s="458"/>
      <c r="E292" s="376"/>
    </row>
    <row r="293" spans="1:5" x14ac:dyDescent="0.25">
      <c r="A293" s="458"/>
      <c r="B293" s="458"/>
      <c r="C293" s="458"/>
      <c r="D293" s="458"/>
      <c r="E293" s="376"/>
    </row>
    <row r="294" spans="1:5" x14ac:dyDescent="0.25">
      <c r="A294" s="458"/>
      <c r="B294" s="458"/>
      <c r="C294" s="458"/>
      <c r="D294" s="458"/>
      <c r="E294" s="376"/>
    </row>
    <row r="295" spans="1:5" x14ac:dyDescent="0.25">
      <c r="A295" s="458"/>
      <c r="B295" s="458"/>
      <c r="C295" s="458"/>
      <c r="D295" s="458"/>
      <c r="E295" s="376"/>
    </row>
    <row r="296" spans="1:5" x14ac:dyDescent="0.25">
      <c r="A296" s="458"/>
      <c r="B296" s="458"/>
      <c r="C296" s="458"/>
      <c r="D296" s="458"/>
      <c r="E296" s="376"/>
    </row>
    <row r="297" spans="1:5" x14ac:dyDescent="0.25">
      <c r="A297" s="458"/>
      <c r="B297" s="458"/>
      <c r="C297" s="458"/>
      <c r="D297" s="458"/>
      <c r="E297" s="376"/>
    </row>
    <row r="298" spans="1:5" x14ac:dyDescent="0.25">
      <c r="A298" s="458"/>
      <c r="B298" s="458"/>
      <c r="C298" s="458"/>
      <c r="D298" s="458"/>
      <c r="E298" s="376"/>
    </row>
    <row r="299" spans="1:5" x14ac:dyDescent="0.25">
      <c r="A299" s="458"/>
      <c r="B299" s="458"/>
      <c r="C299" s="458"/>
      <c r="D299" s="458"/>
      <c r="E299" s="376"/>
    </row>
    <row r="300" spans="1:5" x14ac:dyDescent="0.25">
      <c r="A300" s="458"/>
      <c r="B300" s="458"/>
      <c r="C300" s="458"/>
      <c r="D300" s="458"/>
      <c r="E300" s="376"/>
    </row>
    <row r="301" spans="1:5" x14ac:dyDescent="0.25">
      <c r="A301" s="458"/>
      <c r="B301" s="458"/>
      <c r="C301" s="458"/>
      <c r="D301" s="458"/>
      <c r="E301" s="376"/>
    </row>
    <row r="302" spans="1:5" x14ac:dyDescent="0.25">
      <c r="A302" s="458"/>
      <c r="B302" s="458"/>
      <c r="C302" s="458"/>
      <c r="D302" s="458"/>
      <c r="E302" s="376"/>
    </row>
    <row r="303" spans="1:5" x14ac:dyDescent="0.25">
      <c r="A303" s="458"/>
      <c r="B303" s="458"/>
      <c r="C303" s="458"/>
      <c r="D303" s="458"/>
      <c r="E303" s="376"/>
    </row>
    <row r="304" spans="1:5" x14ac:dyDescent="0.25">
      <c r="A304" s="458"/>
      <c r="B304" s="458"/>
      <c r="C304" s="458"/>
      <c r="D304" s="458"/>
      <c r="E304" s="376"/>
    </row>
    <row r="305" spans="1:5" x14ac:dyDescent="0.25">
      <c r="A305" s="458"/>
      <c r="B305" s="458"/>
      <c r="C305" s="458"/>
      <c r="D305" s="458"/>
      <c r="E305" s="376"/>
    </row>
    <row r="306" spans="1:5" x14ac:dyDescent="0.25">
      <c r="A306" s="458"/>
      <c r="B306" s="458"/>
      <c r="C306" s="458"/>
      <c r="D306" s="458"/>
      <c r="E306" s="376"/>
    </row>
    <row r="307" spans="1:5" x14ac:dyDescent="0.25">
      <c r="A307" s="458"/>
      <c r="B307" s="458"/>
      <c r="C307" s="458"/>
      <c r="D307" s="458"/>
      <c r="E307" s="376"/>
    </row>
    <row r="308" spans="1:5" x14ac:dyDescent="0.25">
      <c r="A308" s="458"/>
      <c r="B308" s="458"/>
      <c r="C308" s="458"/>
      <c r="D308" s="458"/>
      <c r="E308" s="376"/>
    </row>
    <row r="309" spans="1:5" x14ac:dyDescent="0.25">
      <c r="A309" s="458"/>
      <c r="B309" s="458"/>
      <c r="C309" s="458"/>
      <c r="D309" s="458"/>
      <c r="E309" s="376"/>
    </row>
    <row r="310" spans="1:5" x14ac:dyDescent="0.25">
      <c r="A310" s="458"/>
      <c r="B310" s="458"/>
      <c r="C310" s="458"/>
      <c r="D310" s="458"/>
      <c r="E310" s="376"/>
    </row>
    <row r="311" spans="1:5" x14ac:dyDescent="0.25">
      <c r="A311" s="458"/>
      <c r="B311" s="458"/>
      <c r="C311" s="458"/>
      <c r="D311" s="458"/>
      <c r="E311" s="376"/>
    </row>
    <row r="312" spans="1:5" x14ac:dyDescent="0.25">
      <c r="A312" s="458"/>
      <c r="B312" s="458"/>
      <c r="C312" s="458"/>
      <c r="D312" s="458"/>
      <c r="E312" s="376"/>
    </row>
    <row r="313" spans="1:5" x14ac:dyDescent="0.25">
      <c r="A313" s="458"/>
      <c r="B313" s="458"/>
      <c r="C313" s="458"/>
      <c r="D313" s="458"/>
      <c r="E313" s="376"/>
    </row>
    <row r="314" spans="1:5" x14ac:dyDescent="0.25">
      <c r="A314" s="458"/>
      <c r="B314" s="458"/>
      <c r="C314" s="458"/>
      <c r="D314" s="458"/>
      <c r="E314" s="376"/>
    </row>
    <row r="315" spans="1:5" x14ac:dyDescent="0.25">
      <c r="A315" s="458"/>
      <c r="B315" s="458"/>
      <c r="C315" s="458"/>
      <c r="D315" s="458"/>
      <c r="E315" s="376"/>
    </row>
    <row r="316" spans="1:5" x14ac:dyDescent="0.25">
      <c r="A316" s="458"/>
      <c r="B316" s="458"/>
      <c r="C316" s="458"/>
      <c r="D316" s="458"/>
      <c r="E316" s="376"/>
    </row>
    <row r="317" spans="1:5" x14ac:dyDescent="0.25">
      <c r="A317" s="458"/>
      <c r="B317" s="458"/>
      <c r="C317" s="458"/>
      <c r="D317" s="458"/>
      <c r="E317" s="376"/>
    </row>
    <row r="318" spans="1:5" x14ac:dyDescent="0.25">
      <c r="A318" s="458"/>
      <c r="B318" s="458"/>
      <c r="C318" s="458"/>
      <c r="D318" s="458"/>
      <c r="E318" s="376"/>
    </row>
    <row r="319" spans="1:5" x14ac:dyDescent="0.25">
      <c r="A319" s="458"/>
      <c r="B319" s="458"/>
      <c r="C319" s="458"/>
      <c r="D319" s="458"/>
      <c r="E319" s="376"/>
    </row>
    <row r="320" spans="1:5" x14ac:dyDescent="0.25">
      <c r="A320" s="458"/>
      <c r="B320" s="458"/>
      <c r="C320" s="458"/>
      <c r="D320" s="458"/>
      <c r="E320" s="376"/>
    </row>
    <row r="321" spans="1:5" x14ac:dyDescent="0.25">
      <c r="A321" s="458"/>
      <c r="B321" s="458"/>
      <c r="C321" s="458"/>
      <c r="D321" s="458"/>
      <c r="E321" s="376"/>
    </row>
    <row r="322" spans="1:5" x14ac:dyDescent="0.25">
      <c r="A322" s="458"/>
      <c r="B322" s="458"/>
      <c r="C322" s="458"/>
      <c r="D322" s="458"/>
      <c r="E322" s="376"/>
    </row>
    <row r="323" spans="1:5" x14ac:dyDescent="0.25">
      <c r="A323" s="458"/>
      <c r="B323" s="458"/>
      <c r="C323" s="458"/>
      <c r="D323" s="458"/>
      <c r="E323" s="376"/>
    </row>
    <row r="324" spans="1:5" x14ac:dyDescent="0.25">
      <c r="A324" s="458"/>
      <c r="B324" s="458"/>
      <c r="C324" s="458"/>
      <c r="D324" s="458"/>
      <c r="E324" s="376"/>
    </row>
    <row r="325" spans="1:5" x14ac:dyDescent="0.25">
      <c r="A325" s="458"/>
      <c r="B325" s="458"/>
      <c r="C325" s="458"/>
      <c r="D325" s="458"/>
      <c r="E325" s="376"/>
    </row>
    <row r="326" spans="1:5" x14ac:dyDescent="0.25">
      <c r="A326" s="458"/>
      <c r="B326" s="458"/>
      <c r="C326" s="458"/>
      <c r="D326" s="458"/>
      <c r="E326" s="376"/>
    </row>
    <row r="327" spans="1:5" x14ac:dyDescent="0.25">
      <c r="A327" s="458"/>
      <c r="B327" s="458"/>
      <c r="C327" s="458"/>
      <c r="D327" s="458"/>
      <c r="E327" s="376"/>
    </row>
    <row r="328" spans="1:5" x14ac:dyDescent="0.25">
      <c r="A328" s="458"/>
      <c r="B328" s="458"/>
      <c r="C328" s="458"/>
      <c r="D328" s="458"/>
      <c r="E328" s="376"/>
    </row>
    <row r="329" spans="1:5" x14ac:dyDescent="0.25">
      <c r="A329" s="458"/>
      <c r="B329" s="458"/>
      <c r="C329" s="458"/>
      <c r="D329" s="458"/>
      <c r="E329" s="376"/>
    </row>
    <row r="330" spans="1:5" x14ac:dyDescent="0.25">
      <c r="A330" s="458"/>
      <c r="B330" s="458"/>
      <c r="C330" s="458"/>
      <c r="D330" s="458"/>
      <c r="E330" s="376"/>
    </row>
    <row r="331" spans="1:5" x14ac:dyDescent="0.25">
      <c r="A331" s="458"/>
      <c r="B331" s="458"/>
      <c r="C331" s="458"/>
      <c r="D331" s="458"/>
      <c r="E331" s="376"/>
    </row>
    <row r="332" spans="1:5" x14ac:dyDescent="0.25">
      <c r="A332" s="458"/>
      <c r="B332" s="458"/>
      <c r="C332" s="458"/>
      <c r="D332" s="458"/>
      <c r="E332" s="376"/>
    </row>
    <row r="333" spans="1:5" x14ac:dyDescent="0.25">
      <c r="A333" s="458"/>
      <c r="B333" s="458"/>
      <c r="C333" s="458"/>
      <c r="D333" s="458"/>
      <c r="E333" s="376"/>
    </row>
    <row r="334" spans="1:5" x14ac:dyDescent="0.25">
      <c r="A334" s="458"/>
      <c r="B334" s="458"/>
      <c r="C334" s="458"/>
      <c r="D334" s="458"/>
      <c r="E334" s="376"/>
    </row>
    <row r="335" spans="1:5" x14ac:dyDescent="0.25">
      <c r="A335" s="458"/>
      <c r="B335" s="458"/>
      <c r="C335" s="458"/>
      <c r="D335" s="458"/>
      <c r="E335" s="376"/>
    </row>
    <row r="336" spans="1:5" x14ac:dyDescent="0.25">
      <c r="A336" s="458"/>
      <c r="B336" s="458"/>
      <c r="C336" s="458"/>
      <c r="D336" s="458"/>
      <c r="E336" s="376"/>
    </row>
    <row r="337" spans="1:5" x14ac:dyDescent="0.25">
      <c r="A337" s="458"/>
      <c r="B337" s="458"/>
      <c r="C337" s="458"/>
      <c r="D337" s="458"/>
      <c r="E337" s="376"/>
    </row>
    <row r="338" spans="1:5" x14ac:dyDescent="0.25">
      <c r="A338" s="458"/>
      <c r="B338" s="458"/>
      <c r="C338" s="458"/>
      <c r="D338" s="458"/>
      <c r="E338" s="376"/>
    </row>
    <row r="339" spans="1:5" x14ac:dyDescent="0.25">
      <c r="A339" s="458"/>
      <c r="B339" s="458"/>
      <c r="C339" s="458"/>
      <c r="D339" s="458"/>
      <c r="E339" s="376"/>
    </row>
    <row r="340" spans="1:5" x14ac:dyDescent="0.25">
      <c r="A340" s="458"/>
      <c r="B340" s="458"/>
      <c r="C340" s="458"/>
      <c r="D340" s="458"/>
      <c r="E340" s="376"/>
    </row>
    <row r="341" spans="1:5" x14ac:dyDescent="0.25">
      <c r="A341" s="458"/>
      <c r="B341" s="458"/>
      <c r="C341" s="458"/>
      <c r="D341" s="458"/>
      <c r="E341" s="376"/>
    </row>
    <row r="342" spans="1:5" x14ac:dyDescent="0.25">
      <c r="A342" s="458"/>
      <c r="B342" s="458"/>
      <c r="C342" s="458"/>
      <c r="D342" s="458"/>
      <c r="E342" s="376"/>
    </row>
    <row r="343" spans="1:5" x14ac:dyDescent="0.25">
      <c r="A343" s="458"/>
      <c r="B343" s="458"/>
      <c r="C343" s="458"/>
      <c r="D343" s="458"/>
      <c r="E343" s="376"/>
    </row>
    <row r="344" spans="1:5" x14ac:dyDescent="0.25">
      <c r="A344" s="458"/>
      <c r="B344" s="458"/>
      <c r="C344" s="458"/>
      <c r="D344" s="458"/>
      <c r="E344" s="376"/>
    </row>
    <row r="345" spans="1:5" x14ac:dyDescent="0.25">
      <c r="A345" s="458"/>
      <c r="B345" s="458"/>
      <c r="C345" s="458"/>
      <c r="D345" s="458"/>
      <c r="E345" s="376"/>
    </row>
    <row r="346" spans="1:5" x14ac:dyDescent="0.25">
      <c r="A346" s="458"/>
      <c r="B346" s="458"/>
      <c r="C346" s="458"/>
      <c r="D346" s="458"/>
      <c r="E346" s="376"/>
    </row>
    <row r="347" spans="1:5" x14ac:dyDescent="0.25">
      <c r="A347" s="458"/>
      <c r="B347" s="458"/>
      <c r="C347" s="458"/>
      <c r="D347" s="458"/>
      <c r="E347" s="376"/>
    </row>
    <row r="348" spans="1:5" x14ac:dyDescent="0.25">
      <c r="A348" s="458"/>
      <c r="B348" s="458"/>
      <c r="C348" s="458"/>
      <c r="D348" s="458"/>
      <c r="E348" s="376"/>
    </row>
    <row r="349" spans="1:5" x14ac:dyDescent="0.25">
      <c r="A349" s="458"/>
      <c r="B349" s="458"/>
      <c r="C349" s="458"/>
      <c r="D349" s="458"/>
      <c r="E349" s="376"/>
    </row>
    <row r="350" spans="1:5" x14ac:dyDescent="0.25">
      <c r="A350" s="458"/>
      <c r="B350" s="458"/>
      <c r="C350" s="458"/>
      <c r="D350" s="458"/>
      <c r="E350" s="376"/>
    </row>
    <row r="351" spans="1:5" x14ac:dyDescent="0.25">
      <c r="A351" s="458"/>
      <c r="B351" s="458"/>
      <c r="C351" s="458"/>
      <c r="D351" s="458"/>
      <c r="E351" s="376"/>
    </row>
    <row r="352" spans="1:5" x14ac:dyDescent="0.25">
      <c r="A352" s="458"/>
      <c r="B352" s="458"/>
      <c r="C352" s="458"/>
      <c r="D352" s="458"/>
      <c r="E352" s="376"/>
    </row>
    <row r="353" spans="1:5" x14ac:dyDescent="0.25">
      <c r="A353" s="458"/>
      <c r="B353" s="458"/>
      <c r="C353" s="458"/>
      <c r="D353" s="458"/>
      <c r="E353" s="376"/>
    </row>
    <row r="354" spans="1:5" x14ac:dyDescent="0.25">
      <c r="A354" s="458"/>
      <c r="B354" s="458"/>
      <c r="C354" s="458"/>
      <c r="D354" s="458"/>
      <c r="E354" s="376"/>
    </row>
    <row r="355" spans="1:5" x14ac:dyDescent="0.25">
      <c r="A355" s="458"/>
      <c r="B355" s="458"/>
      <c r="C355" s="458"/>
      <c r="D355" s="458"/>
      <c r="E355" s="376"/>
    </row>
    <row r="356" spans="1:5" x14ac:dyDescent="0.25">
      <c r="A356" s="458"/>
      <c r="B356" s="458"/>
      <c r="C356" s="458"/>
      <c r="D356" s="458"/>
      <c r="E356" s="376"/>
    </row>
    <row r="357" spans="1:5" x14ac:dyDescent="0.25">
      <c r="A357" s="458"/>
      <c r="B357" s="458"/>
      <c r="C357" s="458"/>
      <c r="D357" s="458"/>
      <c r="E357" s="376"/>
    </row>
    <row r="358" spans="1:5" x14ac:dyDescent="0.25">
      <c r="A358" s="458"/>
      <c r="B358" s="458"/>
      <c r="C358" s="458"/>
      <c r="D358" s="458"/>
      <c r="E358" s="376"/>
    </row>
    <row r="359" spans="1:5" x14ac:dyDescent="0.25">
      <c r="A359" s="458"/>
      <c r="B359" s="458"/>
      <c r="C359" s="458"/>
      <c r="D359" s="458"/>
      <c r="E359" s="376"/>
    </row>
    <row r="360" spans="1:5" x14ac:dyDescent="0.25">
      <c r="A360" s="458"/>
      <c r="B360" s="458"/>
      <c r="C360" s="458"/>
      <c r="D360" s="458"/>
      <c r="E360" s="376"/>
    </row>
    <row r="361" spans="1:5" x14ac:dyDescent="0.25">
      <c r="A361" s="458"/>
      <c r="B361" s="458"/>
      <c r="C361" s="458"/>
      <c r="D361" s="458"/>
      <c r="E361" s="376"/>
    </row>
    <row r="362" spans="1:5" x14ac:dyDescent="0.25">
      <c r="A362" s="458"/>
      <c r="B362" s="458"/>
      <c r="C362" s="458"/>
      <c r="D362" s="458"/>
      <c r="E362" s="376"/>
    </row>
    <row r="363" spans="1:5" x14ac:dyDescent="0.25">
      <c r="A363" s="458"/>
      <c r="B363" s="458"/>
      <c r="C363" s="458"/>
      <c r="D363" s="458"/>
      <c r="E363" s="376"/>
    </row>
    <row r="364" spans="1:5" x14ac:dyDescent="0.25">
      <c r="A364" s="458"/>
      <c r="B364" s="458"/>
      <c r="C364" s="458"/>
      <c r="D364" s="458"/>
      <c r="E364" s="376"/>
    </row>
    <row r="365" spans="1:5" x14ac:dyDescent="0.25">
      <c r="A365" s="458"/>
      <c r="B365" s="458"/>
      <c r="C365" s="458"/>
      <c r="D365" s="458"/>
      <c r="E365" s="376"/>
    </row>
    <row r="366" spans="1:5" x14ac:dyDescent="0.25">
      <c r="A366" s="458"/>
      <c r="B366" s="458"/>
      <c r="C366" s="458"/>
      <c r="D366" s="458"/>
      <c r="E366" s="376"/>
    </row>
    <row r="367" spans="1:5" x14ac:dyDescent="0.25">
      <c r="A367" s="458"/>
      <c r="B367" s="458"/>
      <c r="C367" s="458"/>
      <c r="D367" s="458"/>
      <c r="E367" s="376"/>
    </row>
    <row r="368" spans="1:5" x14ac:dyDescent="0.25">
      <c r="A368" s="458"/>
      <c r="B368" s="458"/>
      <c r="C368" s="458"/>
      <c r="D368" s="458"/>
      <c r="E368" s="376"/>
    </row>
    <row r="369" spans="1:5" x14ac:dyDescent="0.25">
      <c r="A369" s="458"/>
      <c r="B369" s="458"/>
      <c r="C369" s="458"/>
      <c r="D369" s="458"/>
      <c r="E369" s="376"/>
    </row>
    <row r="370" spans="1:5" x14ac:dyDescent="0.25">
      <c r="A370" s="458"/>
      <c r="B370" s="458"/>
      <c r="C370" s="458"/>
      <c r="D370" s="458"/>
      <c r="E370" s="376"/>
    </row>
    <row r="371" spans="1:5" x14ac:dyDescent="0.25">
      <c r="A371" s="458"/>
      <c r="B371" s="458"/>
      <c r="C371" s="458"/>
      <c r="D371" s="458"/>
      <c r="E371" s="376"/>
    </row>
    <row r="372" spans="1:5" x14ac:dyDescent="0.25">
      <c r="A372" s="458"/>
      <c r="B372" s="458"/>
      <c r="C372" s="458"/>
      <c r="D372" s="458"/>
      <c r="E372" s="376"/>
    </row>
    <row r="373" spans="1:5" x14ac:dyDescent="0.25">
      <c r="A373" s="458"/>
      <c r="B373" s="458"/>
      <c r="C373" s="458"/>
      <c r="D373" s="458"/>
      <c r="E373" s="376"/>
    </row>
    <row r="374" spans="1:5" x14ac:dyDescent="0.25">
      <c r="A374" s="458"/>
      <c r="B374" s="458"/>
      <c r="C374" s="458"/>
      <c r="D374" s="458"/>
      <c r="E374" s="376"/>
    </row>
    <row r="375" spans="1:5" x14ac:dyDescent="0.25">
      <c r="A375" s="458"/>
      <c r="B375" s="458"/>
      <c r="C375" s="458"/>
      <c r="D375" s="458"/>
      <c r="E375" s="376"/>
    </row>
    <row r="376" spans="1:5" x14ac:dyDescent="0.25">
      <c r="A376" s="458"/>
      <c r="B376" s="458"/>
      <c r="C376" s="458"/>
      <c r="D376" s="458"/>
      <c r="E376" s="376"/>
    </row>
    <row r="377" spans="1:5" x14ac:dyDescent="0.25">
      <c r="A377" s="458"/>
      <c r="B377" s="458"/>
      <c r="C377" s="458"/>
      <c r="D377" s="458"/>
      <c r="E377" s="376"/>
    </row>
    <row r="378" spans="1:5" x14ac:dyDescent="0.25">
      <c r="A378" s="458"/>
      <c r="B378" s="458"/>
      <c r="C378" s="458"/>
      <c r="D378" s="458"/>
      <c r="E378" s="376"/>
    </row>
    <row r="379" spans="1:5" x14ac:dyDescent="0.25">
      <c r="A379" s="458"/>
      <c r="B379" s="458"/>
      <c r="C379" s="458"/>
      <c r="D379" s="458"/>
      <c r="E379" s="376"/>
    </row>
    <row r="380" spans="1:5" x14ac:dyDescent="0.25">
      <c r="A380" s="458"/>
      <c r="B380" s="458"/>
      <c r="C380" s="458"/>
      <c r="D380" s="458"/>
      <c r="E380" s="376"/>
    </row>
    <row r="381" spans="1:5" x14ac:dyDescent="0.25">
      <c r="A381" s="458"/>
      <c r="B381" s="458"/>
      <c r="C381" s="458"/>
      <c r="D381" s="458"/>
      <c r="E381" s="376"/>
    </row>
    <row r="382" spans="1:5" x14ac:dyDescent="0.25">
      <c r="A382" s="458"/>
      <c r="B382" s="458"/>
      <c r="C382" s="458"/>
      <c r="D382" s="458"/>
      <c r="E382" s="376"/>
    </row>
    <row r="383" spans="1:5" x14ac:dyDescent="0.25">
      <c r="A383" s="458"/>
      <c r="B383" s="458"/>
      <c r="C383" s="458"/>
      <c r="D383" s="458"/>
      <c r="E383" s="376"/>
    </row>
    <row r="384" spans="1:5" x14ac:dyDescent="0.25">
      <c r="A384" s="458"/>
      <c r="B384" s="458"/>
      <c r="C384" s="458"/>
      <c r="D384" s="458"/>
      <c r="E384" s="376"/>
    </row>
    <row r="385" spans="1:5" x14ac:dyDescent="0.25">
      <c r="A385" s="458"/>
      <c r="B385" s="458"/>
      <c r="C385" s="458"/>
      <c r="D385" s="458"/>
      <c r="E385" s="376"/>
    </row>
    <row r="386" spans="1:5" x14ac:dyDescent="0.25">
      <c r="A386" s="458"/>
      <c r="B386" s="458"/>
      <c r="C386" s="458"/>
      <c r="D386" s="458"/>
      <c r="E386" s="376"/>
    </row>
    <row r="387" spans="1:5" x14ac:dyDescent="0.25">
      <c r="A387" s="458"/>
      <c r="B387" s="458"/>
      <c r="C387" s="458"/>
      <c r="D387" s="458"/>
      <c r="E387" s="376"/>
    </row>
    <row r="388" spans="1:5" x14ac:dyDescent="0.25">
      <c r="A388" s="458"/>
      <c r="B388" s="458"/>
      <c r="C388" s="458"/>
      <c r="D388" s="458"/>
      <c r="E388" s="376"/>
    </row>
    <row r="389" spans="1:5" x14ac:dyDescent="0.25">
      <c r="A389" s="458"/>
      <c r="B389" s="458"/>
      <c r="C389" s="458"/>
      <c r="D389" s="458"/>
      <c r="E389" s="376"/>
    </row>
    <row r="390" spans="1:5" x14ac:dyDescent="0.25">
      <c r="A390" s="458"/>
      <c r="B390" s="458"/>
      <c r="C390" s="458"/>
      <c r="D390" s="458"/>
      <c r="E390" s="376"/>
    </row>
    <row r="391" spans="1:5" x14ac:dyDescent="0.25">
      <c r="A391" s="458"/>
      <c r="B391" s="458"/>
      <c r="C391" s="458"/>
      <c r="D391" s="458"/>
      <c r="E391" s="376"/>
    </row>
    <row r="392" spans="1:5" x14ac:dyDescent="0.25">
      <c r="A392" s="458"/>
      <c r="B392" s="458"/>
      <c r="C392" s="458"/>
      <c r="D392" s="458"/>
      <c r="E392" s="376"/>
    </row>
    <row r="393" spans="1:5" x14ac:dyDescent="0.25">
      <c r="A393" s="458"/>
      <c r="B393" s="458"/>
      <c r="C393" s="458"/>
      <c r="D393" s="458"/>
      <c r="E393" s="376"/>
    </row>
    <row r="394" spans="1:5" x14ac:dyDescent="0.25">
      <c r="A394" s="458"/>
      <c r="B394" s="458"/>
      <c r="C394" s="458"/>
      <c r="D394" s="458"/>
      <c r="E394" s="376"/>
    </row>
    <row r="395" spans="1:5" x14ac:dyDescent="0.25">
      <c r="A395" s="458"/>
      <c r="B395" s="458"/>
      <c r="C395" s="458"/>
      <c r="D395" s="458"/>
      <c r="E395" s="376"/>
    </row>
    <row r="396" spans="1:5" x14ac:dyDescent="0.25">
      <c r="A396" s="458"/>
      <c r="B396" s="458"/>
      <c r="C396" s="458"/>
      <c r="D396" s="458"/>
      <c r="E396" s="376"/>
    </row>
    <row r="397" spans="1:5" x14ac:dyDescent="0.25">
      <c r="A397" s="458"/>
      <c r="B397" s="458"/>
      <c r="C397" s="458"/>
      <c r="D397" s="458"/>
      <c r="E397" s="376"/>
    </row>
    <row r="398" spans="1:5" x14ac:dyDescent="0.25">
      <c r="A398" s="458"/>
      <c r="B398" s="458"/>
      <c r="C398" s="458"/>
      <c r="D398" s="458"/>
      <c r="E398" s="376"/>
    </row>
    <row r="399" spans="1:5" x14ac:dyDescent="0.25">
      <c r="A399" s="458"/>
      <c r="B399" s="458"/>
      <c r="C399" s="458"/>
      <c r="D399" s="458"/>
      <c r="E399" s="376"/>
    </row>
    <row r="400" spans="1:5" x14ac:dyDescent="0.25">
      <c r="A400" s="458"/>
      <c r="B400" s="458"/>
      <c r="C400" s="458"/>
      <c r="D400" s="458"/>
      <c r="E400" s="376"/>
    </row>
    <row r="401" spans="1:5" x14ac:dyDescent="0.25">
      <c r="A401" s="458"/>
      <c r="B401" s="458"/>
      <c r="C401" s="458"/>
      <c r="D401" s="458"/>
      <c r="E401" s="376"/>
    </row>
    <row r="402" spans="1:5" x14ac:dyDescent="0.25">
      <c r="A402" s="458"/>
      <c r="B402" s="458"/>
      <c r="C402" s="458"/>
      <c r="D402" s="458"/>
      <c r="E402" s="376"/>
    </row>
    <row r="403" spans="1:5" x14ac:dyDescent="0.25">
      <c r="A403" s="458"/>
      <c r="B403" s="458"/>
      <c r="C403" s="458"/>
      <c r="D403" s="458"/>
      <c r="E403" s="376"/>
    </row>
    <row r="404" spans="1:5" x14ac:dyDescent="0.25">
      <c r="A404" s="458"/>
      <c r="B404" s="458"/>
      <c r="C404" s="458"/>
      <c r="D404" s="458"/>
      <c r="E404" s="376"/>
    </row>
    <row r="405" spans="1:5" x14ac:dyDescent="0.25">
      <c r="A405" s="458"/>
      <c r="B405" s="458"/>
      <c r="C405" s="458"/>
      <c r="D405" s="458"/>
      <c r="E405" s="376"/>
    </row>
    <row r="406" spans="1:5" x14ac:dyDescent="0.25">
      <c r="A406" s="458"/>
      <c r="B406" s="458"/>
      <c r="C406" s="458"/>
      <c r="D406" s="458"/>
      <c r="E406" s="376"/>
    </row>
    <row r="407" spans="1:5" x14ac:dyDescent="0.25">
      <c r="A407" s="458"/>
      <c r="B407" s="458"/>
      <c r="C407" s="458"/>
      <c r="D407" s="458"/>
      <c r="E407" s="376"/>
    </row>
    <row r="408" spans="1:5" x14ac:dyDescent="0.25">
      <c r="A408" s="458"/>
      <c r="B408" s="458"/>
      <c r="C408" s="458"/>
      <c r="D408" s="458"/>
      <c r="E408" s="376"/>
    </row>
    <row r="409" spans="1:5" x14ac:dyDescent="0.25">
      <c r="A409" s="458"/>
      <c r="B409" s="458"/>
      <c r="C409" s="458"/>
      <c r="D409" s="458"/>
      <c r="E409" s="376"/>
    </row>
    <row r="410" spans="1:5" x14ac:dyDescent="0.25">
      <c r="A410" s="458"/>
      <c r="B410" s="458"/>
      <c r="C410" s="458"/>
      <c r="D410" s="458"/>
      <c r="E410" s="376"/>
    </row>
    <row r="411" spans="1:5" x14ac:dyDescent="0.25">
      <c r="A411" s="458"/>
      <c r="B411" s="458"/>
      <c r="C411" s="458"/>
      <c r="D411" s="458"/>
      <c r="E411" s="376"/>
    </row>
    <row r="412" spans="1:5" x14ac:dyDescent="0.25">
      <c r="A412" s="458"/>
      <c r="B412" s="458"/>
      <c r="C412" s="458"/>
      <c r="D412" s="458"/>
      <c r="E412" s="376"/>
    </row>
  </sheetData>
  <phoneticPr fontId="26" type="noConversion"/>
  <pageMargins left="0.7" right="0.7" top="0.75" bottom="0.75" header="0.3" footer="0.3"/>
  <pageSetup paperSize="9" orientation="portrait" horizontalDpi="1200" verticalDpi="1200"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25" workbookViewId="0">
      <selection activeCell="A29" sqref="A29"/>
    </sheetView>
  </sheetViews>
  <sheetFormatPr defaultColWidth="9" defaultRowHeight="15" x14ac:dyDescent="0.25"/>
  <cols>
    <col min="1" max="1" width="26.42578125" style="358" customWidth="1"/>
    <col min="2" max="2" width="12.140625" style="355" customWidth="1"/>
    <col min="3" max="3" width="42.85546875" style="355" customWidth="1"/>
    <col min="4" max="4" width="45.140625" style="355" customWidth="1"/>
    <col min="5" max="5" width="18.140625" style="355" customWidth="1"/>
    <col min="6" max="16384" width="9" style="355"/>
  </cols>
  <sheetData>
    <row r="1" spans="1:5" x14ac:dyDescent="0.25">
      <c r="A1" s="449" t="s">
        <v>1244</v>
      </c>
      <c r="B1" s="348" t="s">
        <v>408</v>
      </c>
      <c r="C1" s="348" t="s">
        <v>998</v>
      </c>
      <c r="D1" s="348" t="s">
        <v>1131</v>
      </c>
      <c r="E1" s="348" t="s">
        <v>546</v>
      </c>
    </row>
    <row r="2" spans="1:5" ht="28.5" x14ac:dyDescent="0.25">
      <c r="A2" s="442" t="s">
        <v>1248</v>
      </c>
      <c r="B2" s="442"/>
      <c r="C2" s="442"/>
      <c r="D2" s="442"/>
      <c r="E2" s="442"/>
    </row>
    <row r="3" spans="1:5" ht="62.25" customHeight="1" x14ac:dyDescent="0.25">
      <c r="A3" s="447" t="s">
        <v>999</v>
      </c>
      <c r="B3" s="447" t="s">
        <v>473</v>
      </c>
      <c r="C3" s="447" t="s">
        <v>1198</v>
      </c>
      <c r="D3" s="447" t="s">
        <v>1232</v>
      </c>
      <c r="E3" s="447" t="s">
        <v>912</v>
      </c>
    </row>
    <row r="4" spans="1:5" ht="60" x14ac:dyDescent="0.25">
      <c r="A4" s="459" t="s">
        <v>538</v>
      </c>
      <c r="B4" s="446" t="s">
        <v>667</v>
      </c>
      <c r="C4" s="446" t="s">
        <v>1001</v>
      </c>
      <c r="D4" s="446" t="s">
        <v>1233</v>
      </c>
      <c r="E4" s="446" t="s">
        <v>914</v>
      </c>
    </row>
    <row r="5" spans="1:5" ht="60" x14ac:dyDescent="0.25">
      <c r="A5" s="457" t="s">
        <v>509</v>
      </c>
      <c r="B5" s="446" t="s">
        <v>819</v>
      </c>
      <c r="C5" s="446" t="s">
        <v>1002</v>
      </c>
      <c r="D5" s="460" t="s">
        <v>1234</v>
      </c>
      <c r="E5" s="446" t="s">
        <v>912</v>
      </c>
    </row>
    <row r="6" spans="1:5" ht="45" x14ac:dyDescent="0.25">
      <c r="A6" s="457" t="s">
        <v>508</v>
      </c>
      <c r="B6" s="446" t="s">
        <v>819</v>
      </c>
      <c r="C6" s="446" t="s">
        <v>545</v>
      </c>
      <c r="D6" s="460" t="s">
        <v>1235</v>
      </c>
      <c r="E6" s="446" t="s">
        <v>912</v>
      </c>
    </row>
    <row r="7" spans="1:5" ht="30" x14ac:dyDescent="0.25">
      <c r="A7" s="457" t="s">
        <v>1560</v>
      </c>
      <c r="B7" s="621" t="s">
        <v>819</v>
      </c>
      <c r="C7" s="621" t="s">
        <v>1564</v>
      </c>
      <c r="D7" s="460" t="s">
        <v>1565</v>
      </c>
      <c r="E7" s="621" t="s">
        <v>912</v>
      </c>
    </row>
    <row r="8" spans="1:5" ht="45" x14ac:dyDescent="0.25">
      <c r="A8" s="457" t="s">
        <v>1067</v>
      </c>
      <c r="B8" s="446" t="s">
        <v>191</v>
      </c>
      <c r="C8" s="446" t="s">
        <v>1068</v>
      </c>
      <c r="D8" s="446" t="s">
        <v>1202</v>
      </c>
      <c r="E8" s="446" t="s">
        <v>912</v>
      </c>
    </row>
    <row r="9" spans="1:5" ht="30" x14ac:dyDescent="0.25">
      <c r="A9" s="457" t="s">
        <v>29</v>
      </c>
      <c r="B9" s="446" t="s">
        <v>965</v>
      </c>
      <c r="C9" s="446" t="s">
        <v>969</v>
      </c>
      <c r="D9" s="446" t="s">
        <v>1240</v>
      </c>
      <c r="E9" s="446" t="s">
        <v>1119</v>
      </c>
    </row>
    <row r="10" spans="1:5" ht="30" x14ac:dyDescent="0.25">
      <c r="A10" s="457" t="s">
        <v>27</v>
      </c>
      <c r="B10" s="446" t="s">
        <v>965</v>
      </c>
      <c r="C10" s="446" t="s">
        <v>970</v>
      </c>
      <c r="D10" s="446" t="s">
        <v>1241</v>
      </c>
      <c r="E10" s="446" t="s">
        <v>1119</v>
      </c>
    </row>
    <row r="11" spans="1:5" x14ac:dyDescent="0.25">
      <c r="A11" s="442" t="s">
        <v>1358</v>
      </c>
      <c r="B11" s="442"/>
      <c r="C11" s="442"/>
      <c r="D11" s="442"/>
      <c r="E11" s="442"/>
    </row>
    <row r="12" spans="1:5" ht="45" x14ac:dyDescent="0.25">
      <c r="A12" s="457" t="s">
        <v>547</v>
      </c>
      <c r="B12" s="446" t="s">
        <v>219</v>
      </c>
      <c r="C12" s="446" t="s">
        <v>1004</v>
      </c>
      <c r="D12" s="446" t="s">
        <v>1201</v>
      </c>
      <c r="E12" s="446" t="s">
        <v>915</v>
      </c>
    </row>
    <row r="13" spans="1:5" ht="75" x14ac:dyDescent="0.25">
      <c r="A13" s="459" t="s">
        <v>548</v>
      </c>
      <c r="B13" s="447" t="s">
        <v>191</v>
      </c>
      <c r="C13" s="447" t="s">
        <v>551</v>
      </c>
      <c r="D13" s="446" t="s">
        <v>1245</v>
      </c>
      <c r="E13" s="447" t="s">
        <v>557</v>
      </c>
    </row>
    <row r="14" spans="1:5" ht="60" x14ac:dyDescent="0.25">
      <c r="A14" s="457" t="s">
        <v>552</v>
      </c>
      <c r="B14" s="446" t="s">
        <v>553</v>
      </c>
      <c r="C14" s="446" t="s">
        <v>1199</v>
      </c>
      <c r="D14" s="446" t="s">
        <v>1200</v>
      </c>
      <c r="E14" s="446" t="s">
        <v>916</v>
      </c>
    </row>
    <row r="15" spans="1:5" s="442" customFormat="1" ht="14.25" customHeight="1" x14ac:dyDescent="0.25">
      <c r="A15" s="442" t="s">
        <v>1249</v>
      </c>
    </row>
    <row r="16" spans="1:5" ht="60" x14ac:dyDescent="0.25">
      <c r="A16" s="457" t="s">
        <v>562</v>
      </c>
      <c r="B16" s="621" t="s">
        <v>219</v>
      </c>
      <c r="C16" s="621" t="s">
        <v>565</v>
      </c>
      <c r="D16" s="460" t="s">
        <v>1238</v>
      </c>
      <c r="E16" s="621" t="s">
        <v>563</v>
      </c>
    </row>
    <row r="17" spans="1:5" ht="75" x14ac:dyDescent="0.25">
      <c r="A17" s="457" t="s">
        <v>561</v>
      </c>
      <c r="B17" s="621" t="s">
        <v>473</v>
      </c>
      <c r="C17" s="621" t="s">
        <v>963</v>
      </c>
      <c r="D17" s="460" t="s">
        <v>1239</v>
      </c>
      <c r="E17" s="621" t="s">
        <v>564</v>
      </c>
    </row>
    <row r="18" spans="1:5" ht="45" x14ac:dyDescent="0.25">
      <c r="A18" s="457" t="s">
        <v>1571</v>
      </c>
      <c r="B18" s="446" t="s">
        <v>191</v>
      </c>
      <c r="C18" s="446" t="s">
        <v>1572</v>
      </c>
      <c r="D18" s="460" t="s">
        <v>1576</v>
      </c>
      <c r="E18" s="621" t="s">
        <v>1573</v>
      </c>
    </row>
    <row r="19" spans="1:5" x14ac:dyDescent="0.25">
      <c r="A19" s="442" t="s">
        <v>1247</v>
      </c>
      <c r="B19" s="442"/>
      <c r="C19" s="442"/>
      <c r="D19" s="442"/>
      <c r="E19" s="442"/>
    </row>
    <row r="20" spans="1:5" ht="45" x14ac:dyDescent="0.25">
      <c r="A20" s="457" t="s">
        <v>1080</v>
      </c>
      <c r="B20" s="446" t="s">
        <v>473</v>
      </c>
      <c r="C20" s="446" t="s">
        <v>1081</v>
      </c>
      <c r="D20" s="446" t="s">
        <v>1203</v>
      </c>
      <c r="E20" s="446" t="s">
        <v>924</v>
      </c>
    </row>
    <row r="21" spans="1:5" ht="30" x14ac:dyDescent="0.25">
      <c r="A21" s="457" t="s">
        <v>21</v>
      </c>
      <c r="B21" s="446" t="s">
        <v>959</v>
      </c>
      <c r="C21" s="678" t="s">
        <v>961</v>
      </c>
      <c r="D21" s="446" t="s">
        <v>1205</v>
      </c>
      <c r="E21" s="446" t="s">
        <v>1119</v>
      </c>
    </row>
    <row r="22" spans="1:5" ht="30" x14ac:dyDescent="0.25">
      <c r="A22" s="457" t="s">
        <v>22</v>
      </c>
      <c r="B22" s="446" t="s">
        <v>959</v>
      </c>
      <c r="C22" s="678"/>
      <c r="D22" s="446" t="s">
        <v>1206</v>
      </c>
      <c r="E22" s="446" t="s">
        <v>1119</v>
      </c>
    </row>
    <row r="23" spans="1:5" ht="30" x14ac:dyDescent="0.25">
      <c r="A23" s="457" t="s">
        <v>23</v>
      </c>
      <c r="B23" s="446" t="s">
        <v>959</v>
      </c>
      <c r="C23" s="678"/>
      <c r="D23" s="446" t="s">
        <v>1207</v>
      </c>
      <c r="E23" s="446" t="s">
        <v>1119</v>
      </c>
    </row>
    <row r="24" spans="1:5" x14ac:dyDescent="0.25">
      <c r="A24" s="461" t="s">
        <v>1418</v>
      </c>
      <c r="B24" s="462"/>
      <c r="C24" s="462"/>
      <c r="D24" s="462"/>
      <c r="E24" s="462"/>
    </row>
    <row r="25" spans="1:5" ht="45" x14ac:dyDescent="0.25">
      <c r="A25" s="457" t="s">
        <v>1078</v>
      </c>
      <c r="B25" s="446" t="s">
        <v>473</v>
      </c>
      <c r="C25" s="446" t="s">
        <v>1079</v>
      </c>
      <c r="D25" s="446" t="s">
        <v>1204</v>
      </c>
      <c r="E25" s="446" t="s">
        <v>557</v>
      </c>
    </row>
    <row r="26" spans="1:5" x14ac:dyDescent="0.25">
      <c r="A26" s="457" t="s">
        <v>24</v>
      </c>
      <c r="B26" s="446" t="s">
        <v>959</v>
      </c>
      <c r="C26" s="678" t="s">
        <v>960</v>
      </c>
      <c r="D26" s="446" t="s">
        <v>1208</v>
      </c>
      <c r="E26" s="446" t="s">
        <v>1119</v>
      </c>
    </row>
    <row r="27" spans="1:5" x14ac:dyDescent="0.25">
      <c r="A27" s="457" t="s">
        <v>25</v>
      </c>
      <c r="B27" s="446" t="s">
        <v>959</v>
      </c>
      <c r="C27" s="678"/>
      <c r="D27" s="446" t="s">
        <v>1209</v>
      </c>
      <c r="E27" s="446" t="s">
        <v>1119</v>
      </c>
    </row>
    <row r="28" spans="1:5" x14ac:dyDescent="0.25">
      <c r="A28" s="457" t="s">
        <v>26</v>
      </c>
      <c r="B28" s="446" t="s">
        <v>959</v>
      </c>
      <c r="C28" s="678"/>
      <c r="D28" s="446" t="s">
        <v>1210</v>
      </c>
      <c r="E28" s="446" t="s">
        <v>1119</v>
      </c>
    </row>
    <row r="29" spans="1:5" ht="75" x14ac:dyDescent="0.25">
      <c r="A29" s="457" t="s">
        <v>1581</v>
      </c>
      <c r="B29" s="446" t="s">
        <v>843</v>
      </c>
      <c r="C29" s="446" t="s">
        <v>1130</v>
      </c>
      <c r="D29" s="446" t="s">
        <v>1211</v>
      </c>
      <c r="E29" s="446" t="s">
        <v>575</v>
      </c>
    </row>
    <row r="30" spans="1:5" ht="14.25" customHeight="1" x14ac:dyDescent="0.25">
      <c r="A30" s="442" t="s">
        <v>1419</v>
      </c>
      <c r="B30" s="442"/>
      <c r="C30" s="442"/>
      <c r="D30" s="442"/>
      <c r="E30" s="442"/>
    </row>
    <row r="31" spans="1:5" ht="30" x14ac:dyDescent="0.25">
      <c r="A31" s="457" t="s">
        <v>1582</v>
      </c>
      <c r="B31" s="446" t="s">
        <v>582</v>
      </c>
      <c r="C31" s="446" t="s">
        <v>576</v>
      </c>
      <c r="D31" s="446" t="s">
        <v>1212</v>
      </c>
      <c r="E31" s="446" t="s">
        <v>575</v>
      </c>
    </row>
    <row r="32" spans="1:5" ht="45" x14ac:dyDescent="0.25">
      <c r="A32" s="457" t="s">
        <v>1583</v>
      </c>
      <c r="B32" s="446" t="s">
        <v>759</v>
      </c>
      <c r="C32" s="446" t="s">
        <v>1091</v>
      </c>
      <c r="D32" s="446" t="s">
        <v>1213</v>
      </c>
      <c r="E32" s="446" t="s">
        <v>1093</v>
      </c>
    </row>
    <row r="33" spans="1:5" x14ac:dyDescent="0.25">
      <c r="A33" s="442" t="s">
        <v>1272</v>
      </c>
      <c r="B33" s="442"/>
      <c r="C33" s="442"/>
      <c r="D33" s="442"/>
      <c r="E33" s="442"/>
    </row>
    <row r="34" spans="1:5" ht="75" x14ac:dyDescent="0.25">
      <c r="A34" s="459" t="s">
        <v>820</v>
      </c>
      <c r="B34" s="446" t="s">
        <v>818</v>
      </c>
      <c r="C34" s="447" t="s">
        <v>1019</v>
      </c>
      <c r="D34" s="447" t="s">
        <v>1215</v>
      </c>
      <c r="E34" s="447" t="s">
        <v>930</v>
      </c>
    </row>
    <row r="35" spans="1:5" ht="60" x14ac:dyDescent="0.25">
      <c r="A35" s="459" t="s">
        <v>829</v>
      </c>
      <c r="B35" s="446" t="s">
        <v>819</v>
      </c>
      <c r="C35" s="447" t="s">
        <v>1020</v>
      </c>
      <c r="D35" s="447" t="s">
        <v>1216</v>
      </c>
      <c r="E35" s="447" t="s">
        <v>1097</v>
      </c>
    </row>
    <row r="36" spans="1:5" ht="60" x14ac:dyDescent="0.25">
      <c r="A36" s="459" t="s">
        <v>828</v>
      </c>
      <c r="B36" s="446" t="s">
        <v>819</v>
      </c>
      <c r="C36" s="447" t="s">
        <v>1022</v>
      </c>
      <c r="D36" s="447" t="s">
        <v>1217</v>
      </c>
      <c r="E36" s="447" t="s">
        <v>1096</v>
      </c>
    </row>
    <row r="37" spans="1:5" x14ac:dyDescent="0.25">
      <c r="A37" s="442" t="s">
        <v>1359</v>
      </c>
      <c r="B37" s="442"/>
      <c r="C37" s="442"/>
      <c r="D37" s="442"/>
      <c r="E37" s="442"/>
    </row>
    <row r="38" spans="1:5" ht="30" x14ac:dyDescent="0.25">
      <c r="A38" s="457" t="s">
        <v>1136</v>
      </c>
      <c r="B38" s="446" t="s">
        <v>473</v>
      </c>
      <c r="C38" s="446" t="s">
        <v>1139</v>
      </c>
      <c r="D38" s="446" t="s">
        <v>1219</v>
      </c>
      <c r="E38" s="446" t="s">
        <v>931</v>
      </c>
    </row>
    <row r="39" spans="1:5" ht="45" x14ac:dyDescent="0.25">
      <c r="A39" s="457" t="s">
        <v>644</v>
      </c>
      <c r="B39" s="446" t="s">
        <v>645</v>
      </c>
      <c r="C39" s="446" t="s">
        <v>650</v>
      </c>
      <c r="D39" s="446" t="s">
        <v>1220</v>
      </c>
      <c r="E39" s="446" t="s">
        <v>912</v>
      </c>
    </row>
    <row r="40" spans="1:5" ht="30" x14ac:dyDescent="0.25">
      <c r="A40" s="457" t="s">
        <v>1107</v>
      </c>
      <c r="B40" s="446" t="s">
        <v>1101</v>
      </c>
      <c r="C40" s="446" t="s">
        <v>1106</v>
      </c>
      <c r="D40" s="446" t="s">
        <v>1222</v>
      </c>
      <c r="E40" s="446" t="s">
        <v>912</v>
      </c>
    </row>
    <row r="41" spans="1:5" ht="45" x14ac:dyDescent="0.25">
      <c r="A41" s="457" t="s">
        <v>1112</v>
      </c>
      <c r="B41" s="446" t="s">
        <v>645</v>
      </c>
      <c r="C41" s="446" t="s">
        <v>652</v>
      </c>
      <c r="D41" s="446" t="s">
        <v>1221</v>
      </c>
      <c r="E41" s="446" t="s">
        <v>912</v>
      </c>
    </row>
    <row r="42" spans="1:5" ht="30" x14ac:dyDescent="0.25">
      <c r="A42" s="457" t="s">
        <v>1108</v>
      </c>
      <c r="B42" s="446" t="s">
        <v>1101</v>
      </c>
      <c r="C42" s="446" t="s">
        <v>1105</v>
      </c>
      <c r="D42" s="446" t="s">
        <v>1223</v>
      </c>
      <c r="E42" s="446" t="s">
        <v>912</v>
      </c>
    </row>
    <row r="43" spans="1:5" ht="45" x14ac:dyDescent="0.25">
      <c r="A43" s="457" t="s">
        <v>800</v>
      </c>
      <c r="B43" s="446" t="s">
        <v>645</v>
      </c>
      <c r="C43" s="446" t="s">
        <v>802</v>
      </c>
      <c r="D43" s="446" t="s">
        <v>1224</v>
      </c>
      <c r="E43" s="446" t="s">
        <v>933</v>
      </c>
    </row>
    <row r="44" spans="1:5" ht="60" x14ac:dyDescent="0.25">
      <c r="A44" s="457" t="s">
        <v>657</v>
      </c>
      <c r="B44" s="446" t="s">
        <v>645</v>
      </c>
      <c r="C44" s="446" t="s">
        <v>1226</v>
      </c>
      <c r="D44" s="446" t="s">
        <v>1225</v>
      </c>
      <c r="E44" s="446" t="s">
        <v>1116</v>
      </c>
    </row>
    <row r="45" spans="1:5" ht="60" x14ac:dyDescent="0.25">
      <c r="A45" s="457" t="s">
        <v>505</v>
      </c>
      <c r="B45" s="446" t="s">
        <v>498</v>
      </c>
      <c r="C45" s="446" t="s">
        <v>662</v>
      </c>
      <c r="D45" s="446" t="s">
        <v>1227</v>
      </c>
      <c r="E45" s="446" t="s">
        <v>935</v>
      </c>
    </row>
    <row r="46" spans="1:5" ht="30" x14ac:dyDescent="0.25">
      <c r="A46" s="457" t="s">
        <v>658</v>
      </c>
      <c r="B46" s="446" t="s">
        <v>498</v>
      </c>
      <c r="C46" s="446" t="s">
        <v>663</v>
      </c>
      <c r="D46" s="446" t="s">
        <v>1228</v>
      </c>
      <c r="E46" s="446" t="s">
        <v>935</v>
      </c>
    </row>
    <row r="47" spans="1:5" ht="60" x14ac:dyDescent="0.25">
      <c r="A47" s="457" t="s">
        <v>1029</v>
      </c>
      <c r="B47" s="446" t="s">
        <v>499</v>
      </c>
      <c r="C47" s="446" t="s">
        <v>1028</v>
      </c>
      <c r="D47" s="446" t="s">
        <v>1229</v>
      </c>
      <c r="E47" s="446" t="s">
        <v>1119</v>
      </c>
    </row>
    <row r="48" spans="1:5" ht="14.25" customHeight="1" x14ac:dyDescent="0.25">
      <c r="A48" s="442" t="s">
        <v>1273</v>
      </c>
      <c r="B48" s="442"/>
      <c r="C48" s="442"/>
      <c r="D48" s="442"/>
      <c r="E48" s="442"/>
    </row>
    <row r="49" spans="1:5" x14ac:dyDescent="0.25">
      <c r="A49" s="457" t="s">
        <v>881</v>
      </c>
      <c r="B49" s="446" t="s">
        <v>473</v>
      </c>
      <c r="C49" s="446" t="s">
        <v>882</v>
      </c>
      <c r="D49" s="446" t="s">
        <v>1230</v>
      </c>
      <c r="E49" s="446" t="s">
        <v>937</v>
      </c>
    </row>
    <row r="50" spans="1:5" ht="60" x14ac:dyDescent="0.25">
      <c r="A50" s="447" t="s">
        <v>28</v>
      </c>
      <c r="B50" s="447" t="s">
        <v>965</v>
      </c>
      <c r="C50" s="447" t="s">
        <v>966</v>
      </c>
      <c r="D50" s="447" t="s">
        <v>1236</v>
      </c>
      <c r="E50" s="447" t="s">
        <v>1119</v>
      </c>
    </row>
    <row r="51" spans="1:5" ht="60" x14ac:dyDescent="0.25">
      <c r="A51" s="448" t="s">
        <v>884</v>
      </c>
      <c r="B51" s="346" t="s">
        <v>473</v>
      </c>
      <c r="C51" s="346" t="s">
        <v>1032</v>
      </c>
      <c r="D51" s="346" t="s">
        <v>1231</v>
      </c>
      <c r="E51" s="346" t="s">
        <v>940</v>
      </c>
    </row>
  </sheetData>
  <mergeCells count="2">
    <mergeCell ref="C21:C23"/>
    <mergeCell ref="C26:C28"/>
  </mergeCells>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0"/>
  <sheetViews>
    <sheetView topLeftCell="A28" zoomScale="90" zoomScaleNormal="90" workbookViewId="0">
      <selection activeCell="D31" sqref="D31"/>
    </sheetView>
  </sheetViews>
  <sheetFormatPr defaultColWidth="9" defaultRowHeight="14.25" x14ac:dyDescent="0.25"/>
  <cols>
    <col min="1" max="1" width="12.28515625" style="630" customWidth="1"/>
    <col min="2" max="2" width="10" style="619" customWidth="1"/>
    <col min="3" max="3" width="57" style="619" customWidth="1"/>
    <col min="4" max="4" width="41.140625" style="619" customWidth="1"/>
    <col min="5" max="16384" width="9" style="619"/>
  </cols>
  <sheetData>
    <row r="1" spans="1:4" ht="36" x14ac:dyDescent="0.25">
      <c r="A1" s="625" t="s">
        <v>1244</v>
      </c>
      <c r="B1" s="625" t="s">
        <v>1377</v>
      </c>
      <c r="C1" s="625" t="s">
        <v>1378</v>
      </c>
      <c r="D1" s="626" t="s">
        <v>1416</v>
      </c>
    </row>
    <row r="2" spans="1:4" x14ac:dyDescent="0.25">
      <c r="A2" s="689" t="s">
        <v>1248</v>
      </c>
      <c r="B2" s="689"/>
      <c r="C2" s="689"/>
      <c r="D2" s="690"/>
    </row>
    <row r="3" spans="1:4" ht="80.650000000000006" customHeight="1" x14ac:dyDescent="0.25">
      <c r="A3" s="627" t="s">
        <v>999</v>
      </c>
      <c r="B3" s="627" t="s">
        <v>982</v>
      </c>
      <c r="C3" s="627" t="s">
        <v>1566</v>
      </c>
      <c r="D3" s="627" t="s">
        <v>1379</v>
      </c>
    </row>
    <row r="4" spans="1:4" ht="36" x14ac:dyDescent="0.25">
      <c r="A4" s="627" t="s">
        <v>538</v>
      </c>
      <c r="B4" s="627" t="s">
        <v>1556</v>
      </c>
      <c r="C4" s="627" t="s">
        <v>1380</v>
      </c>
      <c r="D4" s="627" t="s">
        <v>1381</v>
      </c>
    </row>
    <row r="5" spans="1:4" ht="60" x14ac:dyDescent="0.25">
      <c r="A5" s="627" t="s">
        <v>509</v>
      </c>
      <c r="B5" s="627" t="s">
        <v>1140</v>
      </c>
      <c r="C5" s="627" t="s">
        <v>1567</v>
      </c>
      <c r="D5" s="627" t="s">
        <v>1428</v>
      </c>
    </row>
    <row r="6" spans="1:4" ht="48" x14ac:dyDescent="0.25">
      <c r="A6" s="627" t="s">
        <v>508</v>
      </c>
      <c r="B6" s="627" t="s">
        <v>1140</v>
      </c>
      <c r="C6" s="627" t="s">
        <v>1568</v>
      </c>
      <c r="D6" s="627" t="s">
        <v>1383</v>
      </c>
    </row>
    <row r="7" spans="1:4" ht="96" x14ac:dyDescent="0.25">
      <c r="A7" s="627" t="s">
        <v>1560</v>
      </c>
      <c r="B7" s="627" t="s">
        <v>1140</v>
      </c>
      <c r="C7" s="627" t="s">
        <v>1569</v>
      </c>
      <c r="D7" s="627" t="s">
        <v>1570</v>
      </c>
    </row>
    <row r="8" spans="1:4" ht="48" x14ac:dyDescent="0.25">
      <c r="A8" s="627" t="s">
        <v>1067</v>
      </c>
      <c r="B8" s="627" t="s">
        <v>1140</v>
      </c>
      <c r="C8" s="627" t="s">
        <v>1360</v>
      </c>
      <c r="D8" s="627" t="s">
        <v>1384</v>
      </c>
    </row>
    <row r="9" spans="1:4" ht="60" x14ac:dyDescent="0.25">
      <c r="A9" s="627" t="s">
        <v>29</v>
      </c>
      <c r="B9" s="627" t="s">
        <v>1140</v>
      </c>
      <c r="C9" s="627" t="s">
        <v>1420</v>
      </c>
      <c r="D9" s="627" t="s">
        <v>1385</v>
      </c>
    </row>
    <row r="10" spans="1:4" ht="60" x14ac:dyDescent="0.25">
      <c r="A10" s="627" t="s">
        <v>27</v>
      </c>
      <c r="B10" s="627" t="s">
        <v>1140</v>
      </c>
      <c r="C10" s="627" t="s">
        <v>1420</v>
      </c>
      <c r="D10" s="627" t="s">
        <v>1385</v>
      </c>
    </row>
    <row r="11" spans="1:4" x14ac:dyDescent="0.25">
      <c r="A11" s="687" t="s">
        <v>1358</v>
      </c>
      <c r="B11" s="688"/>
      <c r="C11" s="688"/>
      <c r="D11" s="688"/>
    </row>
    <row r="12" spans="1:4" ht="36" x14ac:dyDescent="0.25">
      <c r="A12" s="627" t="s">
        <v>547</v>
      </c>
      <c r="B12" s="627" t="s">
        <v>1556</v>
      </c>
      <c r="C12" s="627" t="s">
        <v>1362</v>
      </c>
      <c r="D12" s="627" t="s">
        <v>1386</v>
      </c>
    </row>
    <row r="13" spans="1:4" ht="48" x14ac:dyDescent="0.25">
      <c r="A13" s="627" t="s">
        <v>548</v>
      </c>
      <c r="B13" s="627" t="s">
        <v>1556</v>
      </c>
      <c r="C13" s="627" t="s">
        <v>1361</v>
      </c>
      <c r="D13" s="627" t="s">
        <v>1387</v>
      </c>
    </row>
    <row r="14" spans="1:4" ht="48" x14ac:dyDescent="0.25">
      <c r="A14" s="627" t="s">
        <v>552</v>
      </c>
      <c r="B14" s="627" t="s">
        <v>1556</v>
      </c>
      <c r="C14" s="627" t="s">
        <v>1363</v>
      </c>
      <c r="D14" s="627" t="s">
        <v>1388</v>
      </c>
    </row>
    <row r="15" spans="1:4" x14ac:dyDescent="0.25">
      <c r="A15" s="687" t="s">
        <v>1249</v>
      </c>
      <c r="B15" s="687"/>
      <c r="C15" s="687"/>
      <c r="D15" s="687"/>
    </row>
    <row r="16" spans="1:4" ht="36" x14ac:dyDescent="0.25">
      <c r="A16" s="627" t="s">
        <v>562</v>
      </c>
      <c r="B16" s="627" t="s">
        <v>1556</v>
      </c>
      <c r="C16" s="627" t="s">
        <v>1579</v>
      </c>
      <c r="D16" s="627" t="s">
        <v>1390</v>
      </c>
    </row>
    <row r="17" spans="1:4" ht="60" x14ac:dyDescent="0.25">
      <c r="A17" s="627" t="s">
        <v>561</v>
      </c>
      <c r="B17" s="627" t="s">
        <v>1556</v>
      </c>
      <c r="C17" s="627" t="s">
        <v>1580</v>
      </c>
      <c r="D17" s="627" t="s">
        <v>1391</v>
      </c>
    </row>
    <row r="18" spans="1:4" ht="60" x14ac:dyDescent="0.25">
      <c r="A18" s="627" t="s">
        <v>1571</v>
      </c>
      <c r="B18" s="627" t="s">
        <v>982</v>
      </c>
      <c r="C18" s="631" t="s">
        <v>1575</v>
      </c>
      <c r="D18" s="631" t="s">
        <v>1389</v>
      </c>
    </row>
    <row r="19" spans="1:4" x14ac:dyDescent="0.25">
      <c r="A19" s="687" t="s">
        <v>1247</v>
      </c>
      <c r="B19" s="688"/>
      <c r="C19" s="688"/>
      <c r="D19" s="688"/>
    </row>
    <row r="20" spans="1:4" ht="84" x14ac:dyDescent="0.25">
      <c r="A20" s="627" t="s">
        <v>1080</v>
      </c>
      <c r="B20" s="627" t="s">
        <v>985</v>
      </c>
      <c r="C20" s="627" t="s">
        <v>1364</v>
      </c>
      <c r="D20" s="627" t="s">
        <v>1393</v>
      </c>
    </row>
    <row r="21" spans="1:4" ht="84" x14ac:dyDescent="0.25">
      <c r="A21" s="627" t="s">
        <v>21</v>
      </c>
      <c r="B21" s="627" t="s">
        <v>985</v>
      </c>
      <c r="C21" s="627" t="s">
        <v>1366</v>
      </c>
      <c r="D21" s="627" t="s">
        <v>1396</v>
      </c>
    </row>
    <row r="22" spans="1:4" ht="84" x14ac:dyDescent="0.25">
      <c r="A22" s="627" t="s">
        <v>22</v>
      </c>
      <c r="B22" s="627" t="s">
        <v>985</v>
      </c>
      <c r="C22" s="627" t="s">
        <v>1366</v>
      </c>
      <c r="D22" s="627" t="s">
        <v>1396</v>
      </c>
    </row>
    <row r="23" spans="1:4" ht="84" x14ac:dyDescent="0.25">
      <c r="A23" s="627" t="s">
        <v>23</v>
      </c>
      <c r="B23" s="627" t="s">
        <v>1140</v>
      </c>
      <c r="C23" s="627" t="s">
        <v>1367</v>
      </c>
      <c r="D23" s="627" t="s">
        <v>1395</v>
      </c>
    </row>
    <row r="24" spans="1:4" x14ac:dyDescent="0.25">
      <c r="A24" s="687" t="s">
        <v>1418</v>
      </c>
      <c r="B24" s="688"/>
      <c r="C24" s="688"/>
      <c r="D24" s="688"/>
    </row>
    <row r="25" spans="1:4" ht="96" x14ac:dyDescent="0.25">
      <c r="A25" s="627" t="s">
        <v>1078</v>
      </c>
      <c r="B25" s="627" t="s">
        <v>985</v>
      </c>
      <c r="C25" s="627" t="s">
        <v>1365</v>
      </c>
      <c r="D25" s="627" t="s">
        <v>1392</v>
      </c>
    </row>
    <row r="26" spans="1:4" ht="84" x14ac:dyDescent="0.25">
      <c r="A26" s="627" t="s">
        <v>24</v>
      </c>
      <c r="B26" s="627" t="s">
        <v>1140</v>
      </c>
      <c r="C26" s="627" t="s">
        <v>1368</v>
      </c>
      <c r="D26" s="627" t="s">
        <v>1394</v>
      </c>
    </row>
    <row r="27" spans="1:4" ht="84" x14ac:dyDescent="0.25">
      <c r="A27" s="627" t="s">
        <v>25</v>
      </c>
      <c r="B27" s="627" t="s">
        <v>1140</v>
      </c>
      <c r="C27" s="627" t="s">
        <v>1368</v>
      </c>
      <c r="D27" s="627" t="s">
        <v>1397</v>
      </c>
    </row>
    <row r="28" spans="1:4" ht="84" x14ac:dyDescent="0.25">
      <c r="A28" s="627" t="s">
        <v>26</v>
      </c>
      <c r="B28" s="627" t="s">
        <v>1140</v>
      </c>
      <c r="C28" s="627" t="s">
        <v>1369</v>
      </c>
      <c r="D28" s="627" t="s">
        <v>1398</v>
      </c>
    </row>
    <row r="29" spans="1:4" ht="72" x14ac:dyDescent="0.25">
      <c r="A29" s="627" t="s">
        <v>1581</v>
      </c>
      <c r="B29" s="627" t="s">
        <v>982</v>
      </c>
      <c r="C29" s="627" t="s">
        <v>1421</v>
      </c>
      <c r="D29" s="627" t="s">
        <v>1399</v>
      </c>
    </row>
    <row r="30" spans="1:4" x14ac:dyDescent="0.25">
      <c r="A30" s="687" t="s">
        <v>1419</v>
      </c>
      <c r="B30" s="688"/>
      <c r="C30" s="688"/>
      <c r="D30" s="688"/>
    </row>
    <row r="31" spans="1:4" ht="84" x14ac:dyDescent="0.25">
      <c r="A31" s="627" t="s">
        <v>1582</v>
      </c>
      <c r="B31" s="627" t="s">
        <v>982</v>
      </c>
      <c r="C31" s="627" t="s">
        <v>1422</v>
      </c>
      <c r="D31" s="627" t="s">
        <v>1400</v>
      </c>
    </row>
    <row r="32" spans="1:4" ht="36" x14ac:dyDescent="0.25">
      <c r="A32" s="627" t="s">
        <v>1583</v>
      </c>
      <c r="B32" s="627" t="s">
        <v>1140</v>
      </c>
      <c r="C32" s="627" t="s">
        <v>1370</v>
      </c>
      <c r="D32" s="627" t="s">
        <v>1401</v>
      </c>
    </row>
    <row r="33" spans="1:4" x14ac:dyDescent="0.25">
      <c r="A33" s="687" t="s">
        <v>1272</v>
      </c>
      <c r="B33" s="688"/>
      <c r="C33" s="688"/>
      <c r="D33" s="688"/>
    </row>
    <row r="34" spans="1:4" ht="60" x14ac:dyDescent="0.25">
      <c r="A34" s="627" t="s">
        <v>820</v>
      </c>
      <c r="B34" s="627" t="s">
        <v>985</v>
      </c>
      <c r="C34" s="627" t="s">
        <v>1371</v>
      </c>
      <c r="D34" s="627" t="s">
        <v>1403</v>
      </c>
    </row>
    <row r="35" spans="1:4" ht="36" x14ac:dyDescent="0.25">
      <c r="A35" s="627" t="s">
        <v>829</v>
      </c>
      <c r="B35" s="627" t="s">
        <v>1140</v>
      </c>
      <c r="C35" s="627" t="s">
        <v>1372</v>
      </c>
      <c r="D35" s="627" t="s">
        <v>1405</v>
      </c>
    </row>
    <row r="36" spans="1:4" ht="48" x14ac:dyDescent="0.25">
      <c r="A36" s="627" t="s">
        <v>828</v>
      </c>
      <c r="B36" s="627" t="s">
        <v>1140</v>
      </c>
      <c r="C36" s="627" t="s">
        <v>1372</v>
      </c>
      <c r="D36" s="627" t="s">
        <v>1404</v>
      </c>
    </row>
    <row r="37" spans="1:4" x14ac:dyDescent="0.25">
      <c r="A37" s="687" t="s">
        <v>1359</v>
      </c>
      <c r="B37" s="688"/>
      <c r="C37" s="688"/>
      <c r="D37" s="688"/>
    </row>
    <row r="38" spans="1:4" ht="120" x14ac:dyDescent="0.25">
      <c r="A38" s="627" t="s">
        <v>1136</v>
      </c>
      <c r="B38" s="627" t="s">
        <v>985</v>
      </c>
      <c r="C38" s="627" t="s">
        <v>1423</v>
      </c>
      <c r="D38" s="627" t="s">
        <v>1406</v>
      </c>
    </row>
    <row r="39" spans="1:4" ht="48" x14ac:dyDescent="0.25">
      <c r="A39" s="627" t="s">
        <v>1107</v>
      </c>
      <c r="B39" s="627" t="s">
        <v>1140</v>
      </c>
      <c r="C39" s="627" t="s">
        <v>1373</v>
      </c>
      <c r="D39" s="627" t="s">
        <v>1407</v>
      </c>
    </row>
    <row r="40" spans="1:4" ht="48" x14ac:dyDescent="0.25">
      <c r="A40" s="627" t="s">
        <v>644</v>
      </c>
      <c r="B40" s="627" t="s">
        <v>1140</v>
      </c>
      <c r="C40" s="627" t="s">
        <v>1373</v>
      </c>
      <c r="D40" s="627" t="s">
        <v>1429</v>
      </c>
    </row>
    <row r="41" spans="1:4" ht="48" x14ac:dyDescent="0.25">
      <c r="A41" s="627" t="s">
        <v>1112</v>
      </c>
      <c r="B41" s="627" t="s">
        <v>1140</v>
      </c>
      <c r="C41" s="627" t="s">
        <v>1373</v>
      </c>
      <c r="D41" s="627" t="s">
        <v>1430</v>
      </c>
    </row>
    <row r="42" spans="1:4" ht="48" x14ac:dyDescent="0.25">
      <c r="A42" s="627" t="s">
        <v>1108</v>
      </c>
      <c r="B42" s="627" t="s">
        <v>1140</v>
      </c>
      <c r="C42" s="627" t="s">
        <v>1373</v>
      </c>
      <c r="D42" s="627" t="s">
        <v>1407</v>
      </c>
    </row>
    <row r="43" spans="1:4" ht="84" x14ac:dyDescent="0.25">
      <c r="A43" s="627" t="s">
        <v>800</v>
      </c>
      <c r="B43" s="627" t="s">
        <v>1140</v>
      </c>
      <c r="C43" s="627" t="s">
        <v>1373</v>
      </c>
      <c r="D43" s="627" t="s">
        <v>1410</v>
      </c>
    </row>
    <row r="44" spans="1:4" ht="36" x14ac:dyDescent="0.25">
      <c r="A44" s="627" t="s">
        <v>657</v>
      </c>
      <c r="B44" s="627" t="s">
        <v>1140</v>
      </c>
      <c r="C44" s="627" t="s">
        <v>1374</v>
      </c>
      <c r="D44" s="627" t="s">
        <v>1411</v>
      </c>
    </row>
    <row r="45" spans="1:4" ht="84" x14ac:dyDescent="0.25">
      <c r="A45" s="627" t="s">
        <v>505</v>
      </c>
      <c r="B45" s="627" t="s">
        <v>985</v>
      </c>
      <c r="C45" s="627" t="s">
        <v>1424</v>
      </c>
      <c r="D45" s="627" t="s">
        <v>1412</v>
      </c>
    </row>
    <row r="46" spans="1:4" ht="84" x14ac:dyDescent="0.25">
      <c r="A46" s="627" t="s">
        <v>658</v>
      </c>
      <c r="B46" s="627" t="s">
        <v>985</v>
      </c>
      <c r="C46" s="627" t="s">
        <v>1425</v>
      </c>
      <c r="D46" s="627" t="s">
        <v>1412</v>
      </c>
    </row>
    <row r="47" spans="1:4" ht="84" x14ac:dyDescent="0.25">
      <c r="A47" s="627" t="s">
        <v>1029</v>
      </c>
      <c r="B47" s="627" t="s">
        <v>985</v>
      </c>
      <c r="C47" s="627" t="s">
        <v>1426</v>
      </c>
      <c r="D47" s="627" t="s">
        <v>1413</v>
      </c>
    </row>
    <row r="48" spans="1:4" x14ac:dyDescent="0.25">
      <c r="A48" s="687" t="s">
        <v>1273</v>
      </c>
      <c r="B48" s="688"/>
      <c r="C48" s="688"/>
      <c r="D48" s="688"/>
    </row>
    <row r="49" spans="1:4" ht="36" x14ac:dyDescent="0.25">
      <c r="A49" s="627" t="s">
        <v>881</v>
      </c>
      <c r="B49" s="627" t="s">
        <v>1140</v>
      </c>
      <c r="C49" s="627" t="s">
        <v>1375</v>
      </c>
      <c r="D49" s="627" t="s">
        <v>1414</v>
      </c>
    </row>
    <row r="50" spans="1:4" ht="60" x14ac:dyDescent="0.25">
      <c r="A50" s="627" t="s">
        <v>28</v>
      </c>
      <c r="B50" s="627" t="s">
        <v>1140</v>
      </c>
      <c r="C50" s="627" t="s">
        <v>1376</v>
      </c>
      <c r="D50" s="627" t="s">
        <v>1413</v>
      </c>
    </row>
    <row r="51" spans="1:4" ht="84" x14ac:dyDescent="0.25">
      <c r="A51" s="628" t="s">
        <v>884</v>
      </c>
      <c r="B51" s="628" t="s">
        <v>982</v>
      </c>
      <c r="C51" s="628" t="s">
        <v>1427</v>
      </c>
      <c r="D51" s="628" t="s">
        <v>1415</v>
      </c>
    </row>
    <row r="52" spans="1:4" x14ac:dyDescent="0.25">
      <c r="A52" s="629"/>
      <c r="B52" s="629"/>
      <c r="C52" s="629"/>
    </row>
    <row r="53" spans="1:4" x14ac:dyDescent="0.25">
      <c r="A53" s="629"/>
      <c r="B53" s="629"/>
      <c r="C53" s="629"/>
    </row>
    <row r="54" spans="1:4" x14ac:dyDescent="0.25">
      <c r="A54" s="629"/>
      <c r="B54" s="629"/>
      <c r="C54" s="629"/>
    </row>
    <row r="55" spans="1:4" x14ac:dyDescent="0.25">
      <c r="A55" s="629"/>
      <c r="B55" s="629"/>
      <c r="C55" s="629"/>
    </row>
    <row r="56" spans="1:4" x14ac:dyDescent="0.25">
      <c r="A56" s="629"/>
      <c r="B56" s="629"/>
      <c r="C56" s="629"/>
    </row>
    <row r="57" spans="1:4" x14ac:dyDescent="0.25">
      <c r="A57" s="629"/>
      <c r="B57" s="629"/>
      <c r="C57" s="629"/>
    </row>
    <row r="58" spans="1:4" x14ac:dyDescent="0.25">
      <c r="A58" s="629"/>
      <c r="B58" s="629"/>
      <c r="C58" s="629"/>
    </row>
    <row r="59" spans="1:4" x14ac:dyDescent="0.25">
      <c r="A59" s="629"/>
      <c r="B59" s="629"/>
      <c r="C59" s="629"/>
    </row>
    <row r="60" spans="1:4" x14ac:dyDescent="0.25">
      <c r="A60" s="629"/>
      <c r="B60" s="629"/>
      <c r="C60" s="629"/>
    </row>
    <row r="61" spans="1:4" x14ac:dyDescent="0.25">
      <c r="A61" s="629"/>
      <c r="B61" s="629"/>
      <c r="C61" s="629"/>
    </row>
    <row r="62" spans="1:4" x14ac:dyDescent="0.25">
      <c r="A62" s="629"/>
      <c r="B62" s="629"/>
      <c r="C62" s="629"/>
    </row>
    <row r="63" spans="1:4" x14ac:dyDescent="0.25">
      <c r="A63" s="629"/>
      <c r="B63" s="629"/>
      <c r="C63" s="629"/>
    </row>
    <row r="64" spans="1:4" x14ac:dyDescent="0.25">
      <c r="A64" s="629"/>
      <c r="B64" s="629"/>
      <c r="C64" s="629"/>
    </row>
    <row r="65" spans="1:3" x14ac:dyDescent="0.25">
      <c r="A65" s="629"/>
      <c r="B65" s="629"/>
      <c r="C65" s="629"/>
    </row>
    <row r="66" spans="1:3" x14ac:dyDescent="0.25">
      <c r="A66" s="629"/>
      <c r="B66" s="629"/>
      <c r="C66" s="629"/>
    </row>
    <row r="67" spans="1:3" x14ac:dyDescent="0.25">
      <c r="A67" s="629"/>
      <c r="B67" s="629"/>
      <c r="C67" s="629"/>
    </row>
    <row r="68" spans="1:3" x14ac:dyDescent="0.25">
      <c r="A68" s="629"/>
      <c r="B68" s="629"/>
      <c r="C68" s="629"/>
    </row>
    <row r="69" spans="1:3" x14ac:dyDescent="0.25">
      <c r="A69" s="629"/>
      <c r="B69" s="629"/>
      <c r="C69" s="629"/>
    </row>
    <row r="70" spans="1:3" x14ac:dyDescent="0.25">
      <c r="A70" s="629"/>
      <c r="B70" s="629"/>
      <c r="C70" s="629"/>
    </row>
    <row r="71" spans="1:3" x14ac:dyDescent="0.25">
      <c r="A71" s="629"/>
      <c r="B71" s="629"/>
      <c r="C71" s="629"/>
    </row>
    <row r="72" spans="1:3" x14ac:dyDescent="0.25">
      <c r="A72" s="629"/>
      <c r="B72" s="629"/>
      <c r="C72" s="629"/>
    </row>
    <row r="73" spans="1:3" x14ac:dyDescent="0.25">
      <c r="A73" s="629"/>
      <c r="B73" s="629"/>
      <c r="C73" s="629"/>
    </row>
    <row r="74" spans="1:3" x14ac:dyDescent="0.25">
      <c r="A74" s="629"/>
      <c r="B74" s="629"/>
      <c r="C74" s="629"/>
    </row>
    <row r="75" spans="1:3" x14ac:dyDescent="0.25">
      <c r="A75" s="629"/>
      <c r="B75" s="629"/>
      <c r="C75" s="629"/>
    </row>
    <row r="76" spans="1:3" x14ac:dyDescent="0.25">
      <c r="A76" s="629"/>
      <c r="B76" s="629"/>
      <c r="C76" s="629"/>
    </row>
    <row r="77" spans="1:3" x14ac:dyDescent="0.25">
      <c r="A77" s="629"/>
      <c r="B77" s="629"/>
      <c r="C77" s="629"/>
    </row>
    <row r="78" spans="1:3" x14ac:dyDescent="0.25">
      <c r="A78" s="629"/>
      <c r="B78" s="629"/>
      <c r="C78" s="629"/>
    </row>
    <row r="79" spans="1:3" x14ac:dyDescent="0.25">
      <c r="A79" s="629"/>
      <c r="B79" s="629"/>
      <c r="C79" s="629"/>
    </row>
    <row r="80" spans="1:3" x14ac:dyDescent="0.25">
      <c r="A80" s="629"/>
      <c r="B80" s="629"/>
      <c r="C80" s="629"/>
    </row>
    <row r="81" spans="1:3" x14ac:dyDescent="0.25">
      <c r="A81" s="629"/>
      <c r="B81" s="629"/>
      <c r="C81" s="629"/>
    </row>
    <row r="82" spans="1:3" x14ac:dyDescent="0.25">
      <c r="A82" s="629"/>
      <c r="B82" s="629"/>
      <c r="C82" s="629"/>
    </row>
    <row r="83" spans="1:3" x14ac:dyDescent="0.25">
      <c r="A83" s="629"/>
      <c r="B83" s="629"/>
      <c r="C83" s="629"/>
    </row>
    <row r="84" spans="1:3" x14ac:dyDescent="0.25">
      <c r="A84" s="629"/>
      <c r="B84" s="629"/>
      <c r="C84" s="629"/>
    </row>
    <row r="85" spans="1:3" x14ac:dyDescent="0.25">
      <c r="A85" s="629"/>
      <c r="B85" s="629"/>
      <c r="C85" s="629"/>
    </row>
    <row r="86" spans="1:3" x14ac:dyDescent="0.25">
      <c r="A86" s="629"/>
      <c r="B86" s="629"/>
      <c r="C86" s="629"/>
    </row>
    <row r="87" spans="1:3" x14ac:dyDescent="0.25">
      <c r="A87" s="629"/>
      <c r="B87" s="629"/>
      <c r="C87" s="629"/>
    </row>
    <row r="88" spans="1:3" x14ac:dyDescent="0.25">
      <c r="A88" s="629"/>
      <c r="B88" s="629"/>
      <c r="C88" s="629"/>
    </row>
    <row r="89" spans="1:3" x14ac:dyDescent="0.25">
      <c r="A89" s="629"/>
      <c r="B89" s="629"/>
      <c r="C89" s="629"/>
    </row>
    <row r="90" spans="1:3" x14ac:dyDescent="0.25">
      <c r="A90" s="629"/>
      <c r="B90" s="629"/>
      <c r="C90" s="629"/>
    </row>
    <row r="91" spans="1:3" x14ac:dyDescent="0.25">
      <c r="A91" s="629"/>
      <c r="B91" s="629"/>
      <c r="C91" s="629"/>
    </row>
    <row r="92" spans="1:3" x14ac:dyDescent="0.25">
      <c r="A92" s="629"/>
      <c r="B92" s="629"/>
      <c r="C92" s="629"/>
    </row>
    <row r="93" spans="1:3" x14ac:dyDescent="0.25">
      <c r="A93" s="629"/>
      <c r="B93" s="629"/>
      <c r="C93" s="629"/>
    </row>
    <row r="94" spans="1:3" x14ac:dyDescent="0.25">
      <c r="A94" s="629"/>
      <c r="B94" s="629"/>
      <c r="C94" s="629"/>
    </row>
    <row r="95" spans="1:3" x14ac:dyDescent="0.25">
      <c r="A95" s="629"/>
      <c r="B95" s="629"/>
      <c r="C95" s="629"/>
    </row>
    <row r="96" spans="1:3" x14ac:dyDescent="0.25">
      <c r="A96" s="629"/>
      <c r="B96" s="629"/>
      <c r="C96" s="629"/>
    </row>
    <row r="97" spans="1:3" x14ac:dyDescent="0.25">
      <c r="A97" s="629"/>
      <c r="B97" s="629"/>
      <c r="C97" s="629"/>
    </row>
    <row r="98" spans="1:3" x14ac:dyDescent="0.25">
      <c r="A98" s="629"/>
      <c r="B98" s="629"/>
      <c r="C98" s="629"/>
    </row>
    <row r="99" spans="1:3" x14ac:dyDescent="0.25">
      <c r="A99" s="629"/>
      <c r="B99" s="629"/>
      <c r="C99" s="629"/>
    </row>
    <row r="100" spans="1:3" x14ac:dyDescent="0.25">
      <c r="A100" s="629"/>
      <c r="B100" s="629"/>
      <c r="C100" s="629"/>
    </row>
    <row r="101" spans="1:3" x14ac:dyDescent="0.25">
      <c r="A101" s="629"/>
      <c r="B101" s="629"/>
      <c r="C101" s="629"/>
    </row>
    <row r="102" spans="1:3" x14ac:dyDescent="0.25">
      <c r="A102" s="629"/>
      <c r="B102" s="629"/>
      <c r="C102" s="629"/>
    </row>
    <row r="103" spans="1:3" x14ac:dyDescent="0.25">
      <c r="A103" s="629"/>
      <c r="B103" s="629"/>
      <c r="C103" s="629"/>
    </row>
    <row r="104" spans="1:3" x14ac:dyDescent="0.25">
      <c r="A104" s="629"/>
      <c r="B104" s="629"/>
      <c r="C104" s="629"/>
    </row>
    <row r="105" spans="1:3" x14ac:dyDescent="0.25">
      <c r="A105" s="629"/>
      <c r="B105" s="629"/>
      <c r="C105" s="629"/>
    </row>
    <row r="106" spans="1:3" x14ac:dyDescent="0.25">
      <c r="A106" s="629"/>
      <c r="B106" s="629"/>
      <c r="C106" s="629"/>
    </row>
    <row r="107" spans="1:3" x14ac:dyDescent="0.25">
      <c r="A107" s="629"/>
      <c r="B107" s="629"/>
      <c r="C107" s="629"/>
    </row>
    <row r="108" spans="1:3" x14ac:dyDescent="0.25">
      <c r="A108" s="629"/>
      <c r="B108" s="629"/>
      <c r="C108" s="629"/>
    </row>
    <row r="109" spans="1:3" x14ac:dyDescent="0.25">
      <c r="A109" s="629"/>
      <c r="B109" s="629"/>
      <c r="C109" s="629"/>
    </row>
    <row r="110" spans="1:3" x14ac:dyDescent="0.25">
      <c r="A110" s="629"/>
      <c r="B110" s="629"/>
      <c r="C110" s="629"/>
    </row>
    <row r="111" spans="1:3" x14ac:dyDescent="0.25">
      <c r="A111" s="629"/>
      <c r="B111" s="629"/>
      <c r="C111" s="629"/>
    </row>
    <row r="112" spans="1:3" x14ac:dyDescent="0.25">
      <c r="A112" s="629"/>
      <c r="B112" s="629"/>
      <c r="C112" s="629"/>
    </row>
    <row r="113" spans="1:3" x14ac:dyDescent="0.25">
      <c r="A113" s="629"/>
      <c r="B113" s="629"/>
      <c r="C113" s="629"/>
    </row>
    <row r="114" spans="1:3" x14ac:dyDescent="0.25">
      <c r="A114" s="629"/>
      <c r="B114" s="629"/>
      <c r="C114" s="629"/>
    </row>
    <row r="115" spans="1:3" x14ac:dyDescent="0.25">
      <c r="A115" s="629"/>
      <c r="B115" s="629"/>
      <c r="C115" s="629"/>
    </row>
    <row r="116" spans="1:3" x14ac:dyDescent="0.25">
      <c r="A116" s="629"/>
      <c r="B116" s="629"/>
      <c r="C116" s="629"/>
    </row>
    <row r="117" spans="1:3" x14ac:dyDescent="0.25">
      <c r="A117" s="629"/>
      <c r="B117" s="629"/>
      <c r="C117" s="629"/>
    </row>
    <row r="118" spans="1:3" x14ac:dyDescent="0.25">
      <c r="A118" s="629"/>
      <c r="B118" s="629"/>
      <c r="C118" s="629"/>
    </row>
    <row r="119" spans="1:3" x14ac:dyDescent="0.25">
      <c r="A119" s="629"/>
      <c r="B119" s="629"/>
      <c r="C119" s="629"/>
    </row>
    <row r="120" spans="1:3" x14ac:dyDescent="0.25">
      <c r="A120" s="629"/>
      <c r="B120" s="629"/>
      <c r="C120" s="629"/>
    </row>
    <row r="121" spans="1:3" x14ac:dyDescent="0.25">
      <c r="A121" s="629"/>
      <c r="B121" s="629"/>
      <c r="C121" s="629"/>
    </row>
    <row r="122" spans="1:3" x14ac:dyDescent="0.25">
      <c r="A122" s="629"/>
      <c r="B122" s="629"/>
      <c r="C122" s="629"/>
    </row>
    <row r="123" spans="1:3" x14ac:dyDescent="0.25">
      <c r="A123" s="629"/>
      <c r="B123" s="629"/>
      <c r="C123" s="629"/>
    </row>
    <row r="124" spans="1:3" x14ac:dyDescent="0.25">
      <c r="A124" s="629"/>
      <c r="B124" s="629"/>
      <c r="C124" s="629"/>
    </row>
    <row r="125" spans="1:3" x14ac:dyDescent="0.25">
      <c r="A125" s="629"/>
      <c r="B125" s="629"/>
      <c r="C125" s="629"/>
    </row>
    <row r="126" spans="1:3" x14ac:dyDescent="0.25">
      <c r="A126" s="629"/>
      <c r="B126" s="629"/>
      <c r="C126" s="629"/>
    </row>
    <row r="127" spans="1:3" x14ac:dyDescent="0.25">
      <c r="A127" s="629"/>
      <c r="B127" s="629"/>
      <c r="C127" s="629"/>
    </row>
    <row r="128" spans="1:3" x14ac:dyDescent="0.25">
      <c r="A128" s="629"/>
      <c r="B128" s="629"/>
      <c r="C128" s="629"/>
    </row>
    <row r="129" spans="1:3" x14ac:dyDescent="0.25">
      <c r="A129" s="629"/>
      <c r="B129" s="629"/>
      <c r="C129" s="629"/>
    </row>
    <row r="130" spans="1:3" x14ac:dyDescent="0.25">
      <c r="A130" s="629"/>
      <c r="B130" s="629"/>
      <c r="C130" s="629"/>
    </row>
    <row r="131" spans="1:3" x14ac:dyDescent="0.25">
      <c r="A131" s="629"/>
      <c r="B131" s="629"/>
      <c r="C131" s="629"/>
    </row>
    <row r="132" spans="1:3" x14ac:dyDescent="0.25">
      <c r="A132" s="629"/>
      <c r="B132" s="629"/>
      <c r="C132" s="629"/>
    </row>
    <row r="133" spans="1:3" x14ac:dyDescent="0.25">
      <c r="A133" s="629"/>
      <c r="B133" s="629"/>
      <c r="C133" s="629"/>
    </row>
    <row r="134" spans="1:3" x14ac:dyDescent="0.25">
      <c r="A134" s="629"/>
      <c r="B134" s="629"/>
      <c r="C134" s="629"/>
    </row>
    <row r="135" spans="1:3" x14ac:dyDescent="0.25">
      <c r="A135" s="629"/>
      <c r="B135" s="629"/>
      <c r="C135" s="629"/>
    </row>
    <row r="136" spans="1:3" x14ac:dyDescent="0.25">
      <c r="A136" s="629"/>
      <c r="B136" s="629"/>
      <c r="C136" s="629"/>
    </row>
    <row r="137" spans="1:3" x14ac:dyDescent="0.25">
      <c r="A137" s="629"/>
      <c r="B137" s="629"/>
      <c r="C137" s="629"/>
    </row>
    <row r="138" spans="1:3" x14ac:dyDescent="0.25">
      <c r="A138" s="629"/>
      <c r="B138" s="629"/>
      <c r="C138" s="629"/>
    </row>
    <row r="139" spans="1:3" x14ac:dyDescent="0.25">
      <c r="A139" s="629"/>
      <c r="B139" s="629"/>
      <c r="C139" s="629"/>
    </row>
    <row r="140" spans="1:3" x14ac:dyDescent="0.25">
      <c r="A140" s="629"/>
      <c r="B140" s="629"/>
      <c r="C140" s="629"/>
    </row>
    <row r="141" spans="1:3" x14ac:dyDescent="0.25">
      <c r="A141" s="629"/>
      <c r="B141" s="629"/>
      <c r="C141" s="629"/>
    </row>
    <row r="142" spans="1:3" x14ac:dyDescent="0.25">
      <c r="A142" s="629"/>
      <c r="B142" s="629"/>
      <c r="C142" s="629"/>
    </row>
    <row r="143" spans="1:3" x14ac:dyDescent="0.25">
      <c r="A143" s="629"/>
      <c r="B143" s="629"/>
      <c r="C143" s="629"/>
    </row>
    <row r="144" spans="1:3" x14ac:dyDescent="0.25">
      <c r="A144" s="629"/>
      <c r="B144" s="629"/>
      <c r="C144" s="629"/>
    </row>
    <row r="145" spans="1:3" x14ac:dyDescent="0.25">
      <c r="A145" s="629"/>
      <c r="B145" s="629"/>
      <c r="C145" s="629"/>
    </row>
    <row r="146" spans="1:3" x14ac:dyDescent="0.25">
      <c r="A146" s="629"/>
      <c r="B146" s="629"/>
      <c r="C146" s="629"/>
    </row>
    <row r="147" spans="1:3" x14ac:dyDescent="0.25">
      <c r="A147" s="629"/>
      <c r="B147" s="629"/>
      <c r="C147" s="629"/>
    </row>
    <row r="148" spans="1:3" x14ac:dyDescent="0.25">
      <c r="A148" s="629"/>
      <c r="B148" s="629"/>
      <c r="C148" s="629"/>
    </row>
    <row r="149" spans="1:3" x14ac:dyDescent="0.25">
      <c r="A149" s="629"/>
      <c r="B149" s="629"/>
      <c r="C149" s="629"/>
    </row>
    <row r="150" spans="1:3" x14ac:dyDescent="0.25">
      <c r="A150" s="629"/>
      <c r="B150" s="629"/>
      <c r="C150" s="629"/>
    </row>
    <row r="151" spans="1:3" x14ac:dyDescent="0.25">
      <c r="A151" s="629"/>
      <c r="B151" s="629"/>
      <c r="C151" s="629"/>
    </row>
    <row r="152" spans="1:3" x14ac:dyDescent="0.25">
      <c r="A152" s="629"/>
      <c r="B152" s="629"/>
      <c r="C152" s="629"/>
    </row>
    <row r="153" spans="1:3" x14ac:dyDescent="0.25">
      <c r="A153" s="629"/>
      <c r="B153" s="629"/>
      <c r="C153" s="629"/>
    </row>
    <row r="154" spans="1:3" x14ac:dyDescent="0.25">
      <c r="A154" s="629"/>
      <c r="B154" s="629"/>
      <c r="C154" s="629"/>
    </row>
    <row r="155" spans="1:3" x14ac:dyDescent="0.25">
      <c r="A155" s="629"/>
      <c r="B155" s="629"/>
      <c r="C155" s="629"/>
    </row>
    <row r="156" spans="1:3" x14ac:dyDescent="0.25">
      <c r="A156" s="629"/>
      <c r="B156" s="629"/>
      <c r="C156" s="629"/>
    </row>
    <row r="157" spans="1:3" x14ac:dyDescent="0.25">
      <c r="A157" s="629"/>
      <c r="B157" s="629"/>
      <c r="C157" s="629"/>
    </row>
    <row r="158" spans="1:3" x14ac:dyDescent="0.25">
      <c r="A158" s="629"/>
      <c r="B158" s="629"/>
      <c r="C158" s="629"/>
    </row>
    <row r="159" spans="1:3" x14ac:dyDescent="0.25">
      <c r="A159" s="629"/>
      <c r="B159" s="629"/>
      <c r="C159" s="629"/>
    </row>
    <row r="160" spans="1:3" x14ac:dyDescent="0.25">
      <c r="A160" s="629"/>
      <c r="B160" s="629"/>
      <c r="C160" s="629"/>
    </row>
    <row r="161" spans="1:3" x14ac:dyDescent="0.25">
      <c r="A161" s="629"/>
      <c r="B161" s="629"/>
      <c r="C161" s="629"/>
    </row>
    <row r="162" spans="1:3" x14ac:dyDescent="0.25">
      <c r="A162" s="629"/>
      <c r="B162" s="629"/>
      <c r="C162" s="629"/>
    </row>
    <row r="163" spans="1:3" x14ac:dyDescent="0.25">
      <c r="A163" s="629"/>
      <c r="B163" s="629"/>
      <c r="C163" s="629"/>
    </row>
    <row r="164" spans="1:3" x14ac:dyDescent="0.25">
      <c r="A164" s="629"/>
      <c r="B164" s="629"/>
      <c r="C164" s="629"/>
    </row>
    <row r="165" spans="1:3" x14ac:dyDescent="0.25">
      <c r="A165" s="629"/>
      <c r="B165" s="629"/>
      <c r="C165" s="629"/>
    </row>
    <row r="166" spans="1:3" x14ac:dyDescent="0.25">
      <c r="A166" s="629"/>
      <c r="B166" s="629"/>
      <c r="C166" s="629"/>
    </row>
    <row r="167" spans="1:3" x14ac:dyDescent="0.25">
      <c r="A167" s="629"/>
      <c r="B167" s="629"/>
      <c r="C167" s="629"/>
    </row>
    <row r="168" spans="1:3" x14ac:dyDescent="0.25">
      <c r="A168" s="629"/>
      <c r="B168" s="629"/>
      <c r="C168" s="629"/>
    </row>
    <row r="169" spans="1:3" x14ac:dyDescent="0.25">
      <c r="A169" s="629"/>
      <c r="B169" s="629"/>
      <c r="C169" s="629"/>
    </row>
    <row r="170" spans="1:3" x14ac:dyDescent="0.25">
      <c r="A170" s="629"/>
      <c r="B170" s="629"/>
      <c r="C170" s="629"/>
    </row>
    <row r="171" spans="1:3" x14ac:dyDescent="0.25">
      <c r="A171" s="629"/>
      <c r="B171" s="629"/>
      <c r="C171" s="629"/>
    </row>
    <row r="172" spans="1:3" x14ac:dyDescent="0.25">
      <c r="A172" s="629"/>
      <c r="B172" s="629"/>
      <c r="C172" s="629"/>
    </row>
    <row r="173" spans="1:3" x14ac:dyDescent="0.25">
      <c r="A173" s="629"/>
      <c r="B173" s="629"/>
      <c r="C173" s="629"/>
    </row>
    <row r="174" spans="1:3" x14ac:dyDescent="0.25">
      <c r="A174" s="629"/>
      <c r="B174" s="629"/>
      <c r="C174" s="629"/>
    </row>
    <row r="175" spans="1:3" x14ac:dyDescent="0.25">
      <c r="A175" s="629"/>
      <c r="B175" s="629"/>
      <c r="C175" s="629"/>
    </row>
    <row r="176" spans="1:3" x14ac:dyDescent="0.25">
      <c r="A176" s="629"/>
      <c r="B176" s="629"/>
      <c r="C176" s="629"/>
    </row>
    <row r="177" spans="1:3" x14ac:dyDescent="0.25">
      <c r="A177" s="629"/>
      <c r="B177" s="629"/>
      <c r="C177" s="629"/>
    </row>
    <row r="178" spans="1:3" x14ac:dyDescent="0.25">
      <c r="A178" s="629"/>
      <c r="B178" s="629"/>
      <c r="C178" s="629"/>
    </row>
    <row r="179" spans="1:3" x14ac:dyDescent="0.25">
      <c r="A179" s="629"/>
      <c r="B179" s="629"/>
      <c r="C179" s="629"/>
    </row>
    <row r="180" spans="1:3" x14ac:dyDescent="0.25">
      <c r="A180" s="629"/>
      <c r="B180" s="629"/>
      <c r="C180" s="629"/>
    </row>
    <row r="181" spans="1:3" x14ac:dyDescent="0.25">
      <c r="A181" s="629"/>
      <c r="B181" s="629"/>
      <c r="C181" s="629"/>
    </row>
    <row r="182" spans="1:3" x14ac:dyDescent="0.25">
      <c r="A182" s="629"/>
      <c r="B182" s="629"/>
      <c r="C182" s="629"/>
    </row>
    <row r="183" spans="1:3" x14ac:dyDescent="0.25">
      <c r="A183" s="629"/>
      <c r="B183" s="629"/>
      <c r="C183" s="629"/>
    </row>
    <row r="184" spans="1:3" x14ac:dyDescent="0.25">
      <c r="A184" s="629"/>
      <c r="B184" s="629"/>
      <c r="C184" s="629"/>
    </row>
    <row r="185" spans="1:3" x14ac:dyDescent="0.25">
      <c r="A185" s="629"/>
      <c r="B185" s="629"/>
      <c r="C185" s="629"/>
    </row>
    <row r="186" spans="1:3" x14ac:dyDescent="0.25">
      <c r="A186" s="629"/>
      <c r="B186" s="629"/>
      <c r="C186" s="629"/>
    </row>
    <row r="187" spans="1:3" x14ac:dyDescent="0.25">
      <c r="A187" s="629"/>
      <c r="B187" s="629"/>
      <c r="C187" s="629"/>
    </row>
    <row r="188" spans="1:3" x14ac:dyDescent="0.25">
      <c r="A188" s="629"/>
      <c r="B188" s="629"/>
      <c r="C188" s="629"/>
    </row>
    <row r="189" spans="1:3" x14ac:dyDescent="0.25">
      <c r="A189" s="629"/>
      <c r="B189" s="629"/>
      <c r="C189" s="629"/>
    </row>
    <row r="190" spans="1:3" x14ac:dyDescent="0.25">
      <c r="A190" s="629"/>
      <c r="B190" s="629"/>
      <c r="C190" s="629"/>
    </row>
    <row r="191" spans="1:3" x14ac:dyDescent="0.25">
      <c r="A191" s="629"/>
      <c r="B191" s="629"/>
      <c r="C191" s="629"/>
    </row>
    <row r="192" spans="1:3" x14ac:dyDescent="0.25">
      <c r="A192" s="629"/>
      <c r="B192" s="629"/>
      <c r="C192" s="629"/>
    </row>
    <row r="193" spans="1:3" x14ac:dyDescent="0.25">
      <c r="A193" s="629"/>
      <c r="B193" s="629"/>
      <c r="C193" s="629"/>
    </row>
    <row r="194" spans="1:3" x14ac:dyDescent="0.25">
      <c r="A194" s="629"/>
      <c r="B194" s="629"/>
      <c r="C194" s="629"/>
    </row>
    <row r="195" spans="1:3" x14ac:dyDescent="0.25">
      <c r="A195" s="629"/>
      <c r="B195" s="629"/>
      <c r="C195" s="629"/>
    </row>
    <row r="196" spans="1:3" x14ac:dyDescent="0.25">
      <c r="A196" s="629"/>
      <c r="B196" s="629"/>
      <c r="C196" s="629"/>
    </row>
    <row r="197" spans="1:3" x14ac:dyDescent="0.25">
      <c r="A197" s="629"/>
      <c r="B197" s="629"/>
      <c r="C197" s="629"/>
    </row>
    <row r="198" spans="1:3" x14ac:dyDescent="0.25">
      <c r="A198" s="629"/>
      <c r="B198" s="629"/>
      <c r="C198" s="629"/>
    </row>
    <row r="199" spans="1:3" x14ac:dyDescent="0.25">
      <c r="A199" s="629"/>
      <c r="B199" s="629"/>
      <c r="C199" s="629"/>
    </row>
    <row r="200" spans="1:3" x14ac:dyDescent="0.25">
      <c r="A200" s="629"/>
      <c r="B200" s="629"/>
      <c r="C200" s="629"/>
    </row>
    <row r="201" spans="1:3" x14ac:dyDescent="0.25">
      <c r="A201" s="629"/>
      <c r="B201" s="629"/>
      <c r="C201" s="629"/>
    </row>
    <row r="202" spans="1:3" x14ac:dyDescent="0.25">
      <c r="A202" s="629"/>
      <c r="B202" s="629"/>
      <c r="C202" s="629"/>
    </row>
    <row r="203" spans="1:3" x14ac:dyDescent="0.25">
      <c r="A203" s="629"/>
      <c r="B203" s="629"/>
      <c r="C203" s="629"/>
    </row>
    <row r="204" spans="1:3" x14ac:dyDescent="0.25">
      <c r="A204" s="629"/>
      <c r="B204" s="629"/>
      <c r="C204" s="629"/>
    </row>
    <row r="205" spans="1:3" x14ac:dyDescent="0.25">
      <c r="A205" s="629"/>
      <c r="B205" s="629"/>
      <c r="C205" s="629"/>
    </row>
    <row r="206" spans="1:3" x14ac:dyDescent="0.25">
      <c r="A206" s="629"/>
      <c r="B206" s="629"/>
      <c r="C206" s="629"/>
    </row>
    <row r="207" spans="1:3" x14ac:dyDescent="0.25">
      <c r="A207" s="629"/>
      <c r="B207" s="629"/>
      <c r="C207" s="629"/>
    </row>
    <row r="208" spans="1:3" x14ac:dyDescent="0.25">
      <c r="A208" s="629"/>
      <c r="B208" s="629"/>
      <c r="C208" s="629"/>
    </row>
    <row r="209" spans="1:3" x14ac:dyDescent="0.25">
      <c r="A209" s="629"/>
      <c r="B209" s="629"/>
      <c r="C209" s="629"/>
    </row>
    <row r="210" spans="1:3" x14ac:dyDescent="0.25">
      <c r="A210" s="629"/>
      <c r="B210" s="629"/>
      <c r="C210" s="629"/>
    </row>
    <row r="211" spans="1:3" x14ac:dyDescent="0.25">
      <c r="A211" s="629"/>
      <c r="B211" s="629"/>
      <c r="C211" s="629"/>
    </row>
    <row r="212" spans="1:3" x14ac:dyDescent="0.25">
      <c r="A212" s="629"/>
      <c r="B212" s="629"/>
      <c r="C212" s="629"/>
    </row>
    <row r="213" spans="1:3" x14ac:dyDescent="0.25">
      <c r="A213" s="629"/>
      <c r="B213" s="629"/>
      <c r="C213" s="629"/>
    </row>
    <row r="214" spans="1:3" x14ac:dyDescent="0.25">
      <c r="A214" s="629"/>
      <c r="B214" s="629"/>
      <c r="C214" s="629"/>
    </row>
    <row r="215" spans="1:3" x14ac:dyDescent="0.25">
      <c r="A215" s="629"/>
      <c r="B215" s="629"/>
      <c r="C215" s="629"/>
    </row>
    <row r="216" spans="1:3" x14ac:dyDescent="0.25">
      <c r="A216" s="629"/>
      <c r="B216" s="629"/>
      <c r="C216" s="629"/>
    </row>
    <row r="217" spans="1:3" x14ac:dyDescent="0.25">
      <c r="A217" s="629"/>
      <c r="B217" s="629"/>
      <c r="C217" s="629"/>
    </row>
    <row r="218" spans="1:3" x14ac:dyDescent="0.25">
      <c r="A218" s="629"/>
      <c r="B218" s="629"/>
      <c r="C218" s="629"/>
    </row>
    <row r="219" spans="1:3" x14ac:dyDescent="0.25">
      <c r="A219" s="629"/>
      <c r="B219" s="629"/>
      <c r="C219" s="629"/>
    </row>
    <row r="220" spans="1:3" x14ac:dyDescent="0.25">
      <c r="A220" s="629"/>
      <c r="B220" s="629"/>
      <c r="C220" s="629"/>
    </row>
    <row r="221" spans="1:3" x14ac:dyDescent="0.25">
      <c r="A221" s="629"/>
      <c r="B221" s="629"/>
      <c r="C221" s="629"/>
    </row>
    <row r="222" spans="1:3" x14ac:dyDescent="0.25">
      <c r="A222" s="629"/>
      <c r="B222" s="629"/>
      <c r="C222" s="629"/>
    </row>
    <row r="223" spans="1:3" x14ac:dyDescent="0.25">
      <c r="A223" s="629"/>
      <c r="B223" s="629"/>
      <c r="C223" s="629"/>
    </row>
    <row r="224" spans="1:3" x14ac:dyDescent="0.25">
      <c r="A224" s="629"/>
      <c r="B224" s="629"/>
      <c r="C224" s="629"/>
    </row>
    <row r="225" spans="1:3" x14ac:dyDescent="0.25">
      <c r="A225" s="629"/>
      <c r="B225" s="629"/>
      <c r="C225" s="629"/>
    </row>
    <row r="226" spans="1:3" x14ac:dyDescent="0.25">
      <c r="A226" s="629"/>
      <c r="B226" s="629"/>
      <c r="C226" s="629"/>
    </row>
    <row r="227" spans="1:3" x14ac:dyDescent="0.25">
      <c r="A227" s="629"/>
      <c r="B227" s="629"/>
      <c r="C227" s="629"/>
    </row>
    <row r="228" spans="1:3" x14ac:dyDescent="0.25">
      <c r="A228" s="629"/>
      <c r="B228" s="629"/>
      <c r="C228" s="629"/>
    </row>
    <row r="229" spans="1:3" x14ac:dyDescent="0.25">
      <c r="A229" s="629"/>
      <c r="B229" s="629"/>
      <c r="C229" s="629"/>
    </row>
    <row r="230" spans="1:3" x14ac:dyDescent="0.25">
      <c r="A230" s="629"/>
      <c r="B230" s="629"/>
      <c r="C230" s="629"/>
    </row>
    <row r="231" spans="1:3" x14ac:dyDescent="0.25">
      <c r="A231" s="629"/>
      <c r="B231" s="629"/>
      <c r="C231" s="629"/>
    </row>
    <row r="232" spans="1:3" x14ac:dyDescent="0.25">
      <c r="A232" s="629"/>
      <c r="B232" s="629"/>
      <c r="C232" s="629"/>
    </row>
    <row r="233" spans="1:3" x14ac:dyDescent="0.25">
      <c r="A233" s="629"/>
      <c r="B233" s="629"/>
      <c r="C233" s="629"/>
    </row>
    <row r="234" spans="1:3" x14ac:dyDescent="0.25">
      <c r="A234" s="629"/>
      <c r="B234" s="629"/>
      <c r="C234" s="629"/>
    </row>
    <row r="235" spans="1:3" x14ac:dyDescent="0.25">
      <c r="A235" s="629"/>
      <c r="B235" s="629"/>
      <c r="C235" s="629"/>
    </row>
    <row r="236" spans="1:3" x14ac:dyDescent="0.25">
      <c r="A236" s="629"/>
      <c r="B236" s="629"/>
      <c r="C236" s="629"/>
    </row>
    <row r="237" spans="1:3" x14ac:dyDescent="0.25">
      <c r="A237" s="629"/>
      <c r="B237" s="629"/>
      <c r="C237" s="629"/>
    </row>
    <row r="238" spans="1:3" x14ac:dyDescent="0.25">
      <c r="A238" s="629"/>
      <c r="B238" s="629"/>
      <c r="C238" s="629"/>
    </row>
    <row r="239" spans="1:3" x14ac:dyDescent="0.25">
      <c r="A239" s="629"/>
      <c r="B239" s="629"/>
      <c r="C239" s="629"/>
    </row>
    <row r="240" spans="1:3" x14ac:dyDescent="0.25">
      <c r="A240" s="629"/>
      <c r="B240" s="629"/>
      <c r="C240" s="629"/>
    </row>
    <row r="241" spans="1:3" x14ac:dyDescent="0.25">
      <c r="A241" s="629"/>
      <c r="B241" s="629"/>
      <c r="C241" s="629"/>
    </row>
    <row r="242" spans="1:3" x14ac:dyDescent="0.25">
      <c r="A242" s="629"/>
      <c r="B242" s="629"/>
      <c r="C242" s="629"/>
    </row>
    <row r="243" spans="1:3" x14ac:dyDescent="0.25">
      <c r="A243" s="629"/>
      <c r="B243" s="629"/>
      <c r="C243" s="629"/>
    </row>
    <row r="244" spans="1:3" x14ac:dyDescent="0.25">
      <c r="A244" s="629"/>
      <c r="B244" s="629"/>
      <c r="C244" s="629"/>
    </row>
    <row r="245" spans="1:3" x14ac:dyDescent="0.25">
      <c r="A245" s="629"/>
      <c r="B245" s="629"/>
      <c r="C245" s="629"/>
    </row>
    <row r="246" spans="1:3" x14ac:dyDescent="0.25">
      <c r="A246" s="629"/>
      <c r="B246" s="629"/>
      <c r="C246" s="629"/>
    </row>
    <row r="247" spans="1:3" x14ac:dyDescent="0.25">
      <c r="A247" s="629"/>
      <c r="B247" s="629"/>
      <c r="C247" s="629"/>
    </row>
    <row r="248" spans="1:3" x14ac:dyDescent="0.25">
      <c r="A248" s="629"/>
      <c r="B248" s="629"/>
      <c r="C248" s="629"/>
    </row>
    <row r="249" spans="1:3" x14ac:dyDescent="0.25">
      <c r="A249" s="629"/>
      <c r="B249" s="629"/>
      <c r="C249" s="629"/>
    </row>
    <row r="250" spans="1:3" x14ac:dyDescent="0.25">
      <c r="A250" s="629"/>
      <c r="B250" s="629"/>
      <c r="C250" s="629"/>
    </row>
  </sheetData>
  <mergeCells count="9">
    <mergeCell ref="A33:D33"/>
    <mergeCell ref="A37:D37"/>
    <mergeCell ref="A48:D48"/>
    <mergeCell ref="A11:D11"/>
    <mergeCell ref="A2:D2"/>
    <mergeCell ref="A15:D15"/>
    <mergeCell ref="A19:D19"/>
    <mergeCell ref="A24:D24"/>
    <mergeCell ref="A30:D30"/>
  </mergeCells>
  <phoneticPr fontId="26" type="noConversion"/>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22" workbookViewId="0">
      <selection activeCell="D2" sqref="D2:D43"/>
    </sheetView>
  </sheetViews>
  <sheetFormatPr defaultRowHeight="15" x14ac:dyDescent="0.25"/>
  <cols>
    <col min="1" max="1" width="26.42578125" customWidth="1"/>
    <col min="2" max="2" width="15.42578125" customWidth="1"/>
    <col min="3" max="3" width="14" customWidth="1"/>
    <col min="4" max="4" width="122" customWidth="1"/>
  </cols>
  <sheetData>
    <row r="1" spans="1:7" ht="45" x14ac:dyDescent="0.25">
      <c r="A1" s="423" t="s">
        <v>1244</v>
      </c>
      <c r="B1" s="423" t="s">
        <v>1047</v>
      </c>
      <c r="C1" s="423" t="s">
        <v>1059</v>
      </c>
      <c r="D1" s="423" t="s">
        <v>907</v>
      </c>
      <c r="E1" s="360"/>
      <c r="F1" s="360"/>
      <c r="G1" s="360"/>
    </row>
    <row r="2" spans="1:7" ht="30" x14ac:dyDescent="0.25">
      <c r="A2" s="436" t="s">
        <v>999</v>
      </c>
      <c r="B2" s="421">
        <v>2015</v>
      </c>
      <c r="C2" s="421">
        <v>121</v>
      </c>
      <c r="D2" s="422" t="s">
        <v>1379</v>
      </c>
      <c r="E2" s="360"/>
      <c r="F2" s="360"/>
      <c r="G2" s="360"/>
    </row>
    <row r="3" spans="1:7" x14ac:dyDescent="0.25">
      <c r="A3" s="437" t="s">
        <v>538</v>
      </c>
      <c r="B3" s="421">
        <v>2015</v>
      </c>
      <c r="C3" s="421">
        <v>3938.7696571541301</v>
      </c>
      <c r="D3" s="422" t="s">
        <v>1381</v>
      </c>
      <c r="E3" s="360"/>
      <c r="F3" s="360"/>
      <c r="G3" s="360"/>
    </row>
    <row r="4" spans="1:7" ht="30" x14ac:dyDescent="0.25">
      <c r="A4" s="437" t="s">
        <v>509</v>
      </c>
      <c r="B4" s="421">
        <v>2015</v>
      </c>
      <c r="C4" s="421">
        <v>6579602</v>
      </c>
      <c r="D4" s="422" t="s">
        <v>1382</v>
      </c>
      <c r="E4" s="360"/>
      <c r="F4" s="360"/>
      <c r="G4" s="360"/>
    </row>
    <row r="5" spans="1:7" ht="30" x14ac:dyDescent="0.25">
      <c r="A5" s="437" t="s">
        <v>508</v>
      </c>
      <c r="B5" s="421">
        <v>2015</v>
      </c>
      <c r="C5" s="421">
        <v>324246</v>
      </c>
      <c r="D5" s="422" t="s">
        <v>1383</v>
      </c>
      <c r="E5" s="360"/>
      <c r="F5" s="360"/>
      <c r="G5" s="360"/>
    </row>
    <row r="6" spans="1:7" ht="30" x14ac:dyDescent="0.25">
      <c r="A6" s="437" t="s">
        <v>1067</v>
      </c>
      <c r="B6" s="421">
        <v>2015</v>
      </c>
      <c r="C6" s="421">
        <v>0.36919999999999997</v>
      </c>
      <c r="D6" s="422" t="s">
        <v>1384</v>
      </c>
      <c r="E6" s="360"/>
      <c r="F6" s="360"/>
      <c r="G6" s="360"/>
    </row>
    <row r="7" spans="1:7" ht="30" x14ac:dyDescent="0.25">
      <c r="A7" s="436" t="s">
        <v>29</v>
      </c>
      <c r="B7" s="421">
        <v>2020</v>
      </c>
      <c r="C7" s="421">
        <v>3419.1779999999999</v>
      </c>
      <c r="D7" s="422" t="s">
        <v>1385</v>
      </c>
      <c r="E7" s="362"/>
      <c r="F7" s="362"/>
      <c r="G7" s="362"/>
    </row>
    <row r="8" spans="1:7" ht="30" x14ac:dyDescent="0.25">
      <c r="A8" s="436" t="s">
        <v>27</v>
      </c>
      <c r="B8" s="421">
        <v>2020</v>
      </c>
      <c r="C8" s="421">
        <v>1618.385</v>
      </c>
      <c r="D8" s="422" t="s">
        <v>1385</v>
      </c>
      <c r="E8" s="362"/>
      <c r="F8" s="362"/>
      <c r="G8" s="362"/>
    </row>
    <row r="9" spans="1:7" x14ac:dyDescent="0.25">
      <c r="A9" s="437" t="s">
        <v>547</v>
      </c>
      <c r="B9" s="421">
        <v>2016</v>
      </c>
      <c r="C9" s="421">
        <v>72.180484340000007</v>
      </c>
      <c r="D9" s="422" t="s">
        <v>1386</v>
      </c>
      <c r="E9" s="360"/>
      <c r="F9" s="360"/>
      <c r="G9" s="360"/>
    </row>
    <row r="10" spans="1:7" x14ac:dyDescent="0.25">
      <c r="A10" s="437" t="s">
        <v>548</v>
      </c>
      <c r="B10" s="421">
        <v>2016</v>
      </c>
      <c r="C10" s="421">
        <v>0.72699999999999998</v>
      </c>
      <c r="D10" s="422" t="s">
        <v>1387</v>
      </c>
      <c r="E10" s="360"/>
      <c r="F10" s="360"/>
      <c r="G10" s="360"/>
    </row>
    <row r="11" spans="1:7" x14ac:dyDescent="0.25">
      <c r="A11" s="437" t="s">
        <v>552</v>
      </c>
      <c r="B11" s="421">
        <v>2016</v>
      </c>
      <c r="C11" s="421">
        <v>43.364129249999998</v>
      </c>
      <c r="D11" s="422" t="s">
        <v>1388</v>
      </c>
      <c r="E11" s="360"/>
      <c r="F11" s="360"/>
      <c r="G11" s="360"/>
    </row>
    <row r="12" spans="1:7" ht="30" x14ac:dyDescent="0.25">
      <c r="A12" s="437" t="s">
        <v>917</v>
      </c>
      <c r="B12" s="421">
        <v>2016</v>
      </c>
      <c r="C12" s="421">
        <v>17.364519999999999</v>
      </c>
      <c r="D12" s="422" t="s">
        <v>1389</v>
      </c>
      <c r="E12" s="360"/>
      <c r="F12" s="360"/>
      <c r="G12" s="360"/>
    </row>
    <row r="13" spans="1:7" x14ac:dyDescent="0.25">
      <c r="A13" s="437" t="s">
        <v>562</v>
      </c>
      <c r="B13" s="421">
        <v>2016</v>
      </c>
      <c r="C13" s="421">
        <v>8.4</v>
      </c>
      <c r="D13" s="422" t="s">
        <v>1390</v>
      </c>
      <c r="E13" s="360"/>
      <c r="F13" s="360"/>
      <c r="G13" s="360"/>
    </row>
    <row r="14" spans="1:7" ht="30" x14ac:dyDescent="0.25">
      <c r="A14" s="437" t="s">
        <v>561</v>
      </c>
      <c r="B14" s="421">
        <v>2017</v>
      </c>
      <c r="C14" s="421">
        <v>43.73</v>
      </c>
      <c r="D14" s="422" t="s">
        <v>1391</v>
      </c>
      <c r="E14" s="360"/>
      <c r="F14" s="360"/>
      <c r="G14" s="360"/>
    </row>
    <row r="15" spans="1:7" ht="45" x14ac:dyDescent="0.25">
      <c r="A15" s="437" t="s">
        <v>1080</v>
      </c>
      <c r="B15" s="421">
        <v>2017</v>
      </c>
      <c r="C15" s="421">
        <v>4.099519130252979</v>
      </c>
      <c r="D15" s="422" t="s">
        <v>1393</v>
      </c>
      <c r="E15" s="360"/>
      <c r="F15" s="360"/>
      <c r="G15" s="360"/>
    </row>
    <row r="16" spans="1:7" ht="45" x14ac:dyDescent="0.25">
      <c r="A16" s="437" t="s">
        <v>1078</v>
      </c>
      <c r="B16" s="421">
        <v>2014</v>
      </c>
      <c r="C16" s="421">
        <v>95.900480869747014</v>
      </c>
      <c r="D16" s="422" t="s">
        <v>1392</v>
      </c>
      <c r="E16" s="360"/>
      <c r="F16" s="360"/>
      <c r="G16" s="360"/>
    </row>
    <row r="17" spans="1:7" ht="45" x14ac:dyDescent="0.25">
      <c r="A17" s="436" t="s">
        <v>21</v>
      </c>
      <c r="B17" s="421">
        <v>2020</v>
      </c>
      <c r="C17" s="421">
        <v>0.29909999999999998</v>
      </c>
      <c r="D17" s="422" t="s">
        <v>1396</v>
      </c>
      <c r="E17" s="362"/>
      <c r="F17" s="362"/>
      <c r="G17" s="362"/>
    </row>
    <row r="18" spans="1:7" ht="45" x14ac:dyDescent="0.25">
      <c r="A18" s="436" t="s">
        <v>22</v>
      </c>
      <c r="B18" s="421">
        <v>2020</v>
      </c>
      <c r="C18" s="421">
        <v>1.1954</v>
      </c>
      <c r="D18" s="422" t="s">
        <v>1396</v>
      </c>
      <c r="E18" s="362"/>
      <c r="F18" s="362"/>
      <c r="G18" s="362"/>
    </row>
    <row r="19" spans="1:7" ht="45" x14ac:dyDescent="0.25">
      <c r="A19" s="436" t="s">
        <v>23</v>
      </c>
      <c r="B19" s="421">
        <v>2020</v>
      </c>
      <c r="C19" s="421">
        <v>42.6177957241024</v>
      </c>
      <c r="D19" s="422" t="s">
        <v>1395</v>
      </c>
      <c r="E19" s="362"/>
      <c r="F19" s="362"/>
      <c r="G19" s="362"/>
    </row>
    <row r="20" spans="1:7" ht="45" x14ac:dyDescent="0.25">
      <c r="A20" s="436" t="s">
        <v>24</v>
      </c>
      <c r="B20" s="421">
        <v>2020</v>
      </c>
      <c r="C20" s="421">
        <v>195</v>
      </c>
      <c r="D20" s="422" t="s">
        <v>1394</v>
      </c>
      <c r="E20" s="362"/>
      <c r="F20" s="362"/>
      <c r="G20" s="362"/>
    </row>
    <row r="21" spans="1:7" ht="45" x14ac:dyDescent="0.25">
      <c r="A21" s="436" t="s">
        <v>25</v>
      </c>
      <c r="B21" s="421">
        <v>2020</v>
      </c>
      <c r="C21" s="421">
        <v>152.18899999999999</v>
      </c>
      <c r="D21" s="422" t="s">
        <v>1397</v>
      </c>
      <c r="E21" s="362"/>
      <c r="F21" s="362"/>
      <c r="G21" s="362"/>
    </row>
    <row r="22" spans="1:7" ht="45" x14ac:dyDescent="0.25">
      <c r="A22" s="436" t="s">
        <v>26</v>
      </c>
      <c r="B22" s="421">
        <v>2020</v>
      </c>
      <c r="C22" s="421">
        <v>143.77099999999999</v>
      </c>
      <c r="D22" s="422" t="s">
        <v>1398</v>
      </c>
      <c r="E22" s="362"/>
      <c r="F22" s="362"/>
      <c r="G22" s="362"/>
    </row>
    <row r="23" spans="1:7" x14ac:dyDescent="0.25">
      <c r="A23" s="437" t="s">
        <v>483</v>
      </c>
      <c r="B23" s="421">
        <v>2015</v>
      </c>
      <c r="C23" s="421">
        <v>5.1313796829999996</v>
      </c>
      <c r="D23" s="422" t="s">
        <v>1399</v>
      </c>
      <c r="E23" s="360"/>
      <c r="F23" s="360"/>
      <c r="G23" s="360"/>
    </row>
    <row r="24" spans="1:7" x14ac:dyDescent="0.25">
      <c r="A24" s="437" t="s">
        <v>1122</v>
      </c>
      <c r="B24" s="421">
        <v>2016</v>
      </c>
      <c r="C24" s="421">
        <v>10.2580066199183</v>
      </c>
      <c r="D24" s="422" t="s">
        <v>1400</v>
      </c>
      <c r="E24" s="360"/>
      <c r="F24" s="360"/>
      <c r="G24" s="360"/>
    </row>
    <row r="25" spans="1:7" x14ac:dyDescent="0.25">
      <c r="A25" s="437" t="s">
        <v>758</v>
      </c>
      <c r="B25" s="421">
        <v>2014</v>
      </c>
      <c r="C25" s="421">
        <v>0.48960813019935201</v>
      </c>
      <c r="D25" s="422" t="s">
        <v>1401</v>
      </c>
      <c r="E25" s="360"/>
      <c r="F25" s="360"/>
      <c r="G25" s="360"/>
    </row>
    <row r="26" spans="1:7" ht="30" x14ac:dyDescent="0.25">
      <c r="A26" s="437" t="s">
        <v>821</v>
      </c>
      <c r="B26" s="421">
        <v>2015</v>
      </c>
      <c r="C26" s="421">
        <v>66.270574999999994</v>
      </c>
      <c r="D26" s="422" t="s">
        <v>1402</v>
      </c>
      <c r="E26" s="360"/>
      <c r="F26" s="360"/>
      <c r="G26" s="360"/>
    </row>
    <row r="27" spans="1:7" ht="45" x14ac:dyDescent="0.25">
      <c r="A27" s="437" t="s">
        <v>820</v>
      </c>
      <c r="B27" s="421">
        <v>2016</v>
      </c>
      <c r="C27" s="421">
        <v>9.0589999999999993</v>
      </c>
      <c r="D27" s="422" t="s">
        <v>1403</v>
      </c>
      <c r="E27" s="360"/>
      <c r="F27" s="360"/>
      <c r="G27" s="360"/>
    </row>
    <row r="28" spans="1:7" ht="30" x14ac:dyDescent="0.25">
      <c r="A28" s="437" t="s">
        <v>829</v>
      </c>
      <c r="B28" s="421">
        <v>2015</v>
      </c>
      <c r="C28" s="421">
        <v>106330.2</v>
      </c>
      <c r="D28" s="422" t="s">
        <v>1405</v>
      </c>
      <c r="E28" s="360"/>
      <c r="F28" s="360"/>
      <c r="G28" s="360"/>
    </row>
    <row r="29" spans="1:7" ht="30" x14ac:dyDescent="0.25">
      <c r="A29" s="437" t="s">
        <v>828</v>
      </c>
      <c r="B29" s="421">
        <v>2015</v>
      </c>
      <c r="C29" s="421">
        <v>18459.746505000003</v>
      </c>
      <c r="D29" s="422" t="s">
        <v>1404</v>
      </c>
      <c r="E29" s="360"/>
      <c r="F29" s="360"/>
      <c r="G29" s="360"/>
    </row>
    <row r="30" spans="1:7" ht="30" x14ac:dyDescent="0.25">
      <c r="A30" s="437" t="s">
        <v>830</v>
      </c>
      <c r="B30" s="421">
        <v>2015</v>
      </c>
      <c r="C30" s="421">
        <v>5.6833</v>
      </c>
      <c r="D30" s="422" t="s">
        <v>1402</v>
      </c>
      <c r="E30" s="360"/>
      <c r="F30" s="360"/>
      <c r="G30" s="360"/>
    </row>
    <row r="31" spans="1:7" ht="30" x14ac:dyDescent="0.25">
      <c r="A31" s="438" t="s">
        <v>1136</v>
      </c>
      <c r="B31" s="421">
        <v>2014</v>
      </c>
      <c r="C31" s="421">
        <v>397.5469769</v>
      </c>
      <c r="D31" s="429" t="s">
        <v>1406</v>
      </c>
      <c r="E31" s="371" t="s">
        <v>1196</v>
      </c>
      <c r="F31" s="360"/>
      <c r="G31" s="360"/>
    </row>
    <row r="32" spans="1:7" ht="30" x14ac:dyDescent="0.25">
      <c r="A32" s="437" t="s">
        <v>1107</v>
      </c>
      <c r="B32" s="421">
        <v>2015</v>
      </c>
      <c r="C32" s="421">
        <v>4211322924.72716</v>
      </c>
      <c r="D32" s="422" t="s">
        <v>1407</v>
      </c>
      <c r="E32" s="360"/>
      <c r="F32" s="360"/>
      <c r="G32" s="360"/>
    </row>
    <row r="33" spans="1:7" ht="30" x14ac:dyDescent="0.25">
      <c r="A33" s="437" t="s">
        <v>644</v>
      </c>
      <c r="B33" s="421">
        <v>2015</v>
      </c>
      <c r="C33" s="421">
        <v>0.57065564884860986</v>
      </c>
      <c r="D33" s="422" t="s">
        <v>1408</v>
      </c>
      <c r="E33" s="360"/>
      <c r="F33" s="360"/>
      <c r="G33" s="360"/>
    </row>
    <row r="34" spans="1:7" ht="30" x14ac:dyDescent="0.25">
      <c r="A34" s="437" t="s">
        <v>1112</v>
      </c>
      <c r="B34" s="421">
        <v>2015</v>
      </c>
      <c r="C34" s="421">
        <v>0.7883381298190415</v>
      </c>
      <c r="D34" s="422" t="s">
        <v>1409</v>
      </c>
      <c r="E34" s="360"/>
      <c r="F34" s="360"/>
      <c r="G34" s="360"/>
    </row>
    <row r="35" spans="1:7" ht="30" x14ac:dyDescent="0.25">
      <c r="A35" s="437" t="s">
        <v>1108</v>
      </c>
      <c r="B35" s="421">
        <v>2015</v>
      </c>
      <c r="C35" s="421">
        <v>5817775475.0031729</v>
      </c>
      <c r="D35" s="422" t="s">
        <v>1407</v>
      </c>
      <c r="E35" s="360"/>
      <c r="F35" s="360"/>
      <c r="G35" s="360"/>
    </row>
    <row r="36" spans="1:7" ht="30" x14ac:dyDescent="0.25">
      <c r="A36" s="437" t="s">
        <v>800</v>
      </c>
      <c r="B36" s="421">
        <v>2015</v>
      </c>
      <c r="C36" s="421">
        <v>4.54</v>
      </c>
      <c r="D36" s="422" t="s">
        <v>1410</v>
      </c>
      <c r="E36" s="360"/>
      <c r="F36" s="360"/>
      <c r="G36" s="360"/>
    </row>
    <row r="37" spans="1:7" x14ac:dyDescent="0.25">
      <c r="A37" s="437" t="s">
        <v>657</v>
      </c>
      <c r="B37" s="421">
        <v>2014</v>
      </c>
      <c r="C37" s="421">
        <v>4.9816855938225997</v>
      </c>
      <c r="D37" s="422" t="s">
        <v>1411</v>
      </c>
      <c r="E37" s="360"/>
      <c r="F37" s="360"/>
      <c r="G37" s="360"/>
    </row>
    <row r="38" spans="1:7" x14ac:dyDescent="0.25">
      <c r="A38" s="438" t="s">
        <v>505</v>
      </c>
      <c r="B38" s="421">
        <v>2011</v>
      </c>
      <c r="C38" s="430">
        <v>2.83</v>
      </c>
      <c r="D38" s="429" t="s">
        <v>1412</v>
      </c>
      <c r="E38" s="360"/>
      <c r="F38" s="360"/>
      <c r="G38" s="360"/>
    </row>
    <row r="39" spans="1:7" x14ac:dyDescent="0.25">
      <c r="A39" s="438" t="s">
        <v>658</v>
      </c>
      <c r="B39" s="421">
        <v>2011</v>
      </c>
      <c r="C39" s="430">
        <v>1.82</v>
      </c>
      <c r="D39" s="429" t="s">
        <v>1412</v>
      </c>
      <c r="E39" s="360"/>
      <c r="F39" s="360"/>
      <c r="G39" s="360"/>
    </row>
    <row r="40" spans="1:7" ht="30" x14ac:dyDescent="0.25">
      <c r="A40" s="438" t="s">
        <v>1029</v>
      </c>
      <c r="B40" s="421">
        <v>2020</v>
      </c>
      <c r="C40" s="430">
        <v>1.2410000000000001</v>
      </c>
      <c r="D40" s="429" t="s">
        <v>1413</v>
      </c>
      <c r="E40" s="360"/>
      <c r="F40" s="360"/>
      <c r="G40" s="360"/>
    </row>
    <row r="41" spans="1:7" x14ac:dyDescent="0.25">
      <c r="A41" s="437" t="s">
        <v>881</v>
      </c>
      <c r="B41" s="421">
        <v>2015</v>
      </c>
      <c r="C41" s="421">
        <v>30.744264405397601</v>
      </c>
      <c r="D41" s="422" t="s">
        <v>1414</v>
      </c>
      <c r="E41" s="360"/>
      <c r="F41" s="360"/>
      <c r="G41" s="360"/>
    </row>
    <row r="42" spans="1:7" ht="30" x14ac:dyDescent="0.25">
      <c r="A42" s="436" t="s">
        <v>28</v>
      </c>
      <c r="B42" s="421">
        <v>2020</v>
      </c>
      <c r="C42" s="421">
        <v>3697.7395999999999</v>
      </c>
      <c r="D42" s="422" t="s">
        <v>1413</v>
      </c>
      <c r="E42" s="362"/>
      <c r="F42" s="362"/>
      <c r="G42" s="362"/>
    </row>
    <row r="43" spans="1:7" ht="30" x14ac:dyDescent="0.25">
      <c r="A43" s="437" t="s">
        <v>884</v>
      </c>
      <c r="B43" s="421">
        <v>2000</v>
      </c>
      <c r="C43" s="421">
        <v>70</v>
      </c>
      <c r="D43" s="422" t="s">
        <v>1415</v>
      </c>
      <c r="E43" s="360"/>
      <c r="F43" s="360"/>
      <c r="G43" s="360"/>
    </row>
  </sheetData>
  <hyperlinks>
    <hyperlink ref="E31"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70" zoomScaleNormal="70" workbookViewId="0">
      <selection activeCell="C1" sqref="C1:N1048576"/>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hidden="1" customWidth="1"/>
    <col min="6" max="6" width="10.7109375" style="378" hidden="1" customWidth="1"/>
    <col min="7" max="7" width="12.42578125" style="378" hidden="1" customWidth="1"/>
    <col min="8" max="8" width="18.140625" style="376" customWidth="1"/>
    <col min="9" max="9" width="14.7109375" style="376" customWidth="1"/>
    <col min="10" max="10" width="13.28515625" style="376" customWidth="1"/>
    <col min="11" max="11" width="11.42578125" style="376" customWidth="1"/>
    <col min="12" max="12" width="12.5703125" style="376" hidden="1" customWidth="1"/>
    <col min="13" max="13" width="16.7109375" style="376" bestFit="1" customWidth="1"/>
    <col min="14" max="14" width="12" style="376" customWidth="1"/>
    <col min="15" max="16" width="17.85546875" style="376" customWidth="1"/>
    <col min="17" max="17" width="9" style="355" hidden="1" customWidth="1"/>
    <col min="18" max="18" width="15" style="355" customWidth="1"/>
    <col min="19" max="19" width="18.7109375" style="355" hidden="1" customWidth="1"/>
    <col min="20" max="20" width="17.85546875" style="355" customWidth="1"/>
    <col min="21" max="21" width="25.85546875" style="355" customWidth="1"/>
    <col min="22" max="22" width="18.28515625" style="355" customWidth="1"/>
    <col min="23" max="23" width="17.85546875" style="355" hidden="1" customWidth="1"/>
    <col min="24" max="25" width="17.85546875" style="355" customWidth="1"/>
    <col min="26" max="26" width="19.7109375" style="355" customWidth="1"/>
    <col min="27" max="27" width="17" style="355" customWidth="1"/>
    <col min="28" max="28" width="86.7109375" style="355" customWidth="1"/>
    <col min="29" max="30" width="9" style="355"/>
    <col min="31" max="31" width="34.85546875" style="376" customWidth="1"/>
    <col min="32" max="32" width="9" style="355"/>
    <col min="33" max="33" width="14" style="376" customWidth="1"/>
    <col min="34" max="34" width="31.7109375" style="376" customWidth="1"/>
    <col min="35" max="35" width="56.140625" style="376" customWidth="1"/>
    <col min="36" max="36" width="19.5703125" style="360" customWidth="1"/>
    <col min="37" max="37" width="40.140625" style="360" customWidth="1"/>
    <col min="38" max="16384" width="9" style="360"/>
  </cols>
  <sheetData>
    <row r="1" spans="1:35" ht="60"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1146</v>
      </c>
      <c r="N1" s="423" t="s">
        <v>1155</v>
      </c>
      <c r="O1" s="423" t="s">
        <v>1147</v>
      </c>
      <c r="P1" s="423" t="s">
        <v>1145</v>
      </c>
      <c r="Q1" s="423" t="s">
        <v>1057</v>
      </c>
      <c r="R1" s="423" t="s">
        <v>1148</v>
      </c>
      <c r="S1" s="423" t="s">
        <v>1156</v>
      </c>
      <c r="T1" s="423" t="s">
        <v>1149</v>
      </c>
      <c r="U1" s="423" t="s">
        <v>1150</v>
      </c>
      <c r="V1" s="423" t="s">
        <v>1151</v>
      </c>
      <c r="W1" s="423" t="s">
        <v>1157</v>
      </c>
      <c r="X1" s="423" t="s">
        <v>1152</v>
      </c>
      <c r="Y1" s="423" t="s">
        <v>1153</v>
      </c>
      <c r="Z1" s="423" t="s">
        <v>1159</v>
      </c>
      <c r="AA1" s="423" t="s">
        <v>1158</v>
      </c>
      <c r="AB1" s="423" t="s">
        <v>907</v>
      </c>
      <c r="AC1" s="423" t="s">
        <v>664</v>
      </c>
      <c r="AD1" s="374" t="s">
        <v>907</v>
      </c>
      <c r="AE1" s="360"/>
      <c r="AF1" s="360"/>
      <c r="AG1" s="360"/>
      <c r="AH1" s="360"/>
      <c r="AI1" s="360"/>
    </row>
    <row r="2" spans="1:35" s="386" customFormat="1" hidden="1" x14ac:dyDescent="0.25">
      <c r="A2" s="409"/>
      <c r="B2" s="406"/>
      <c r="C2" s="406"/>
      <c r="D2" s="406"/>
      <c r="E2" s="407">
        <v>2015</v>
      </c>
      <c r="F2" s="407">
        <v>2016</v>
      </c>
      <c r="G2" s="407">
        <v>2017</v>
      </c>
      <c r="H2" s="407"/>
      <c r="I2" s="407"/>
      <c r="J2" s="407"/>
      <c r="K2" s="407"/>
      <c r="L2" s="407">
        <f>Table148[[#This Row],[Ambitious target 2030]]+Table148[[#This Row],[Ambitious target 2030]]*0.5</f>
        <v>0</v>
      </c>
      <c r="M2" s="407"/>
      <c r="N2" s="407"/>
      <c r="O2" s="407"/>
      <c r="P2" s="407"/>
      <c r="Q2" s="407">
        <f>Table148[[#This Row],[Red target]]-Table148[[#This Row],[Red target]]*0.5</f>
        <v>0</v>
      </c>
      <c r="R2" s="407"/>
      <c r="S2" s="407"/>
      <c r="T2" s="407"/>
      <c r="U2" s="407"/>
      <c r="V2" s="407"/>
      <c r="W2" s="407"/>
      <c r="X2" s="407"/>
      <c r="Y2" s="407"/>
      <c r="Z2" s="407"/>
      <c r="AA2" s="407"/>
      <c r="AB2" s="407"/>
      <c r="AC2" s="413"/>
    </row>
    <row r="3" spans="1:35" x14ac:dyDescent="0.25">
      <c r="A3" s="422" t="s">
        <v>856</v>
      </c>
      <c r="B3" s="436" t="s">
        <v>999</v>
      </c>
      <c r="C3" s="436" t="s">
        <v>473</v>
      </c>
      <c r="D3" s="436" t="s">
        <v>904</v>
      </c>
      <c r="E3" s="420">
        <v>121</v>
      </c>
      <c r="F3" s="420">
        <v>122</v>
      </c>
      <c r="G3" s="420">
        <v>122</v>
      </c>
      <c r="H3" s="421">
        <v>2015</v>
      </c>
      <c r="I3" s="421">
        <v>121</v>
      </c>
      <c r="J3" s="411">
        <f>2015</f>
        <v>2015</v>
      </c>
      <c r="K3" s="364">
        <v>137.345</v>
      </c>
      <c r="L3" s="411">
        <f>Table148[[#This Row],[Ambitious target 2030]]+Table148[[#This Row],[Ambitious target 2030]]*0.5</f>
        <v>207.36</v>
      </c>
      <c r="M3" s="421">
        <f>AVERAGE(G4:G8)*0.9</f>
        <v>138.24</v>
      </c>
      <c r="N3" s="421"/>
      <c r="O3" s="421">
        <f>(M3-K3)*0.5+K3</f>
        <v>137.79250000000002</v>
      </c>
      <c r="P3" s="421">
        <f>(Table148[[#This Row],[Ambitious target 2030]]-Table148[[#This Row],[Model reference value]])*0.25+Table148[[#This Row],[Model reference value]]</f>
        <v>137.56874999999999</v>
      </c>
      <c r="Q3" s="421">
        <f>Table148[[#This Row],[Red target]]-Table148[[#This Row],[Red target]]*0.5</f>
        <v>68.672499999999999</v>
      </c>
      <c r="R3" s="421">
        <f>AVERAGE(G4:G8)*1</f>
        <v>153.6</v>
      </c>
      <c r="S3" s="421"/>
      <c r="T3" s="421">
        <f>(Table148[[#This Row],[Ambitious target 2050]]-Table148[[#This Row],[Model reference value]])*0.5+Table148[[#This Row],[Model reference value]]</f>
        <v>145.4725</v>
      </c>
      <c r="U3" s="421">
        <f>(Table148[[#This Row],[Ambitious target 2050]]-Table148[[#This Row],[Model reference value]])*0.25+Table148[[#This Row],[Model reference value]]</f>
        <v>141.40875</v>
      </c>
      <c r="V3" s="421">
        <f>AVERAGE(G4:G8)*1.1</f>
        <v>168.96</v>
      </c>
      <c r="W3" s="421"/>
      <c r="X3" s="421">
        <f>(Table148[[#This Row],[Ambitious target 2100]]-Table148[[#This Row],[Model reference value]])*0.5+Table148[[#This Row],[Model reference value]]</f>
        <v>153.1525</v>
      </c>
      <c r="Y3" s="421">
        <f>(Table148[[#This Row],[Ambitious target 2100]]-Table148[[#This Row],[Model reference value]])*0.25+Table148[[#This Row],[Model reference value]]</f>
        <v>145.24875</v>
      </c>
      <c r="Z3" s="421">
        <f>K3</f>
        <v>137.345</v>
      </c>
      <c r="AA3" s="421" t="s">
        <v>978</v>
      </c>
      <c r="AB3" s="421" t="s">
        <v>1184</v>
      </c>
      <c r="AC3" s="419" t="s">
        <v>864</v>
      </c>
      <c r="AD3" s="362"/>
      <c r="AE3" s="362"/>
      <c r="AF3" s="360"/>
      <c r="AG3" s="360"/>
      <c r="AH3" s="360"/>
      <c r="AI3" s="360"/>
    </row>
    <row r="4" spans="1:35" hidden="1" x14ac:dyDescent="0.25">
      <c r="A4" s="389"/>
      <c r="B4" s="372"/>
      <c r="C4" s="372"/>
      <c r="D4" s="378" t="s">
        <v>808</v>
      </c>
      <c r="E4" s="379">
        <v>159</v>
      </c>
      <c r="F4" s="380">
        <v>160</v>
      </c>
      <c r="G4" s="381">
        <v>160</v>
      </c>
      <c r="H4" s="421"/>
      <c r="I4" s="375"/>
      <c r="J4" s="375"/>
      <c r="K4" s="375"/>
      <c r="L4" s="375">
        <f>Table148[[#This Row],[Ambitious target 2030]]+Table148[[#This Row],[Ambitious target 2030]]*0.5</f>
        <v>0</v>
      </c>
      <c r="M4" s="375"/>
      <c r="N4" s="375"/>
      <c r="O4" s="375"/>
      <c r="P4" s="375"/>
      <c r="Q4" s="375">
        <f>Table148[[#This Row],[Red target]]-Table148[[#This Row],[Red target]]*0.5</f>
        <v>0</v>
      </c>
      <c r="R4" s="375"/>
      <c r="S4" s="375"/>
      <c r="T4" s="375"/>
      <c r="U4" s="375"/>
      <c r="V4" s="375"/>
      <c r="W4" s="375"/>
      <c r="X4" s="375"/>
      <c r="Y4" s="375"/>
      <c r="Z4" s="375"/>
      <c r="AA4" s="375"/>
      <c r="AB4" s="375"/>
      <c r="AC4" s="399"/>
      <c r="AD4" s="362"/>
      <c r="AE4" s="362"/>
      <c r="AF4" s="360"/>
      <c r="AG4" s="360"/>
      <c r="AH4" s="360"/>
      <c r="AI4" s="360"/>
    </row>
    <row r="5" spans="1:35" hidden="1" x14ac:dyDescent="0.25">
      <c r="A5" s="389"/>
      <c r="B5" s="372"/>
      <c r="C5" s="372"/>
      <c r="D5" s="378" t="s">
        <v>832</v>
      </c>
      <c r="E5" s="379">
        <v>158</v>
      </c>
      <c r="F5" s="380">
        <v>158</v>
      </c>
      <c r="G5" s="381">
        <v>157</v>
      </c>
      <c r="H5" s="421"/>
      <c r="I5" s="375"/>
      <c r="J5" s="375"/>
      <c r="K5" s="375"/>
      <c r="L5" s="375">
        <f>Table148[[#This Row],[Ambitious target 2030]]+Table148[[#This Row],[Ambitious target 2030]]*0.5</f>
        <v>0</v>
      </c>
      <c r="M5" s="375"/>
      <c r="N5" s="375"/>
      <c r="O5" s="375"/>
      <c r="P5" s="375"/>
      <c r="Q5" s="375">
        <f>Table148[[#This Row],[Red target]]-Table148[[#This Row],[Red target]]*0.5</f>
        <v>0</v>
      </c>
      <c r="R5" s="375"/>
      <c r="S5" s="375"/>
      <c r="T5" s="375"/>
      <c r="U5" s="375"/>
      <c r="V5" s="375"/>
      <c r="W5" s="375"/>
      <c r="X5" s="375"/>
      <c r="Y5" s="375"/>
      <c r="Z5" s="375"/>
      <c r="AA5" s="375"/>
      <c r="AB5" s="375"/>
      <c r="AC5" s="399"/>
      <c r="AD5" s="362"/>
      <c r="AE5" s="362"/>
      <c r="AF5" s="360"/>
      <c r="AG5" s="360"/>
      <c r="AH5" s="360"/>
      <c r="AI5" s="360"/>
    </row>
    <row r="6" spans="1:35" hidden="1" x14ac:dyDescent="0.25">
      <c r="A6" s="389"/>
      <c r="B6" s="372"/>
      <c r="C6" s="372"/>
      <c r="D6" s="378" t="s">
        <v>857</v>
      </c>
      <c r="E6" s="379">
        <v>152</v>
      </c>
      <c r="F6" s="380">
        <v>153</v>
      </c>
      <c r="G6" s="381">
        <v>153</v>
      </c>
      <c r="H6" s="421"/>
      <c r="I6" s="375"/>
      <c r="J6" s="375"/>
      <c r="K6" s="375"/>
      <c r="L6" s="375">
        <f>Table148[[#This Row],[Ambitious target 2030]]+Table148[[#This Row],[Ambitious target 2030]]*0.5</f>
        <v>0</v>
      </c>
      <c r="M6" s="375"/>
      <c r="N6" s="375"/>
      <c r="O6" s="375"/>
      <c r="P6" s="375"/>
      <c r="Q6" s="375">
        <f>Table148[[#This Row],[Red target]]-Table148[[#This Row],[Red target]]*0.5</f>
        <v>0</v>
      </c>
      <c r="R6" s="375"/>
      <c r="S6" s="375"/>
      <c r="T6" s="375"/>
      <c r="U6" s="375"/>
      <c r="V6" s="375"/>
      <c r="W6" s="375"/>
      <c r="X6" s="375"/>
      <c r="Y6" s="375"/>
      <c r="Z6" s="375"/>
      <c r="AA6" s="375"/>
      <c r="AB6" s="375"/>
      <c r="AC6" s="399"/>
      <c r="AD6" s="362"/>
      <c r="AE6" s="362"/>
      <c r="AF6" s="360"/>
      <c r="AG6" s="360"/>
      <c r="AH6" s="360"/>
      <c r="AI6" s="360"/>
    </row>
    <row r="7" spans="1:35" hidden="1" x14ac:dyDescent="0.25">
      <c r="A7" s="389"/>
      <c r="B7" s="372"/>
      <c r="C7" s="372"/>
      <c r="D7" s="378" t="s">
        <v>858</v>
      </c>
      <c r="E7" s="379">
        <v>148</v>
      </c>
      <c r="F7" s="380">
        <v>149</v>
      </c>
      <c r="G7" s="381">
        <v>150</v>
      </c>
      <c r="H7" s="421"/>
      <c r="I7" s="375"/>
      <c r="J7" s="375"/>
      <c r="K7" s="375"/>
      <c r="L7" s="375">
        <f>Table148[[#This Row],[Ambitious target 2030]]+Table148[[#This Row],[Ambitious target 2030]]*0.5</f>
        <v>0</v>
      </c>
      <c r="M7" s="375"/>
      <c r="N7" s="375"/>
      <c r="O7" s="375"/>
      <c r="P7" s="375"/>
      <c r="Q7" s="375">
        <f>Table148[[#This Row],[Red target]]-Table148[[#This Row],[Red target]]*0.5</f>
        <v>0</v>
      </c>
      <c r="R7" s="375"/>
      <c r="S7" s="375"/>
      <c r="T7" s="375"/>
      <c r="U7" s="375"/>
      <c r="V7" s="375"/>
      <c r="W7" s="375"/>
      <c r="X7" s="375"/>
      <c r="Y7" s="375"/>
      <c r="Z7" s="375"/>
      <c r="AA7" s="375"/>
      <c r="AB7" s="375"/>
      <c r="AC7" s="399"/>
      <c r="AD7" s="362"/>
      <c r="AE7" s="362"/>
      <c r="AF7" s="360"/>
      <c r="AG7" s="360"/>
      <c r="AH7" s="360"/>
      <c r="AI7" s="360"/>
    </row>
    <row r="8" spans="1:35" hidden="1" x14ac:dyDescent="0.25">
      <c r="A8" s="389"/>
      <c r="B8" s="372"/>
      <c r="C8" s="372"/>
      <c r="D8" s="378" t="s">
        <v>859</v>
      </c>
      <c r="E8" s="379">
        <v>148</v>
      </c>
      <c r="F8" s="380">
        <v>148</v>
      </c>
      <c r="G8" s="381">
        <v>148</v>
      </c>
      <c r="H8" s="421"/>
      <c r="I8" s="375"/>
      <c r="J8" s="375"/>
      <c r="K8" s="375"/>
      <c r="L8" s="375">
        <f>Table148[[#This Row],[Ambitious target 2030]]+Table148[[#This Row],[Ambitious target 2030]]*0.5</f>
        <v>0</v>
      </c>
      <c r="M8" s="375"/>
      <c r="N8" s="375"/>
      <c r="O8" s="375"/>
      <c r="P8" s="375"/>
      <c r="Q8" s="375">
        <f>Table148[[#This Row],[Red target]]-Table148[[#This Row],[Red target]]*0.5</f>
        <v>0</v>
      </c>
      <c r="R8" s="375"/>
      <c r="S8" s="375"/>
      <c r="T8" s="375"/>
      <c r="U8" s="375"/>
      <c r="V8" s="375"/>
      <c r="W8" s="375"/>
      <c r="X8" s="375"/>
      <c r="Y8" s="375"/>
      <c r="Z8" s="375"/>
      <c r="AA8" s="375"/>
      <c r="AB8" s="375"/>
      <c r="AC8" s="399"/>
      <c r="AD8" s="362"/>
      <c r="AE8" s="362"/>
      <c r="AF8" s="360"/>
      <c r="AG8" s="360"/>
      <c r="AH8" s="360"/>
      <c r="AI8" s="360"/>
    </row>
    <row r="9" spans="1:35" hidden="1" x14ac:dyDescent="0.25">
      <c r="A9" s="389"/>
      <c r="B9" s="372"/>
      <c r="C9" s="372"/>
      <c r="D9" s="378" t="s">
        <v>860</v>
      </c>
      <c r="E9" s="382">
        <v>81</v>
      </c>
      <c r="F9" s="383">
        <v>80</v>
      </c>
      <c r="G9" s="384">
        <v>81</v>
      </c>
      <c r="H9" s="421"/>
      <c r="I9" s="375"/>
      <c r="J9" s="375"/>
      <c r="K9" s="375"/>
      <c r="L9" s="375">
        <f>Table148[[#This Row],[Ambitious target 2030]]+Table148[[#This Row],[Ambitious target 2030]]*0.5</f>
        <v>0</v>
      </c>
      <c r="M9" s="375"/>
      <c r="N9" s="375"/>
      <c r="O9" s="375"/>
      <c r="P9" s="375"/>
      <c r="Q9" s="375">
        <f>Table148[[#This Row],[Red target]]-Table148[[#This Row],[Red target]]*0.5</f>
        <v>0</v>
      </c>
      <c r="R9" s="375"/>
      <c r="S9" s="375"/>
      <c r="T9" s="375"/>
      <c r="U9" s="375"/>
      <c r="V9" s="375"/>
      <c r="W9" s="375"/>
      <c r="X9" s="375"/>
      <c r="Y9" s="375"/>
      <c r="Z9" s="375"/>
      <c r="AA9" s="375"/>
      <c r="AB9" s="375"/>
      <c r="AC9" s="399"/>
      <c r="AD9" s="362"/>
      <c r="AE9" s="362"/>
      <c r="AF9" s="360"/>
      <c r="AG9" s="360"/>
      <c r="AH9" s="360"/>
      <c r="AI9" s="360"/>
    </row>
    <row r="10" spans="1:35" hidden="1" x14ac:dyDescent="0.25">
      <c r="A10" s="389"/>
      <c r="B10" s="372"/>
      <c r="C10" s="372"/>
      <c r="D10" s="378" t="s">
        <v>861</v>
      </c>
      <c r="E10" s="382">
        <v>86</v>
      </c>
      <c r="F10" s="383">
        <v>85</v>
      </c>
      <c r="G10" s="384">
        <v>84</v>
      </c>
      <c r="H10" s="421"/>
      <c r="I10" s="375"/>
      <c r="J10" s="375"/>
      <c r="K10" s="375"/>
      <c r="L10" s="375">
        <f>Table148[[#This Row],[Ambitious target 2030]]+Table148[[#This Row],[Ambitious target 2030]]*0.5</f>
        <v>0</v>
      </c>
      <c r="M10" s="375"/>
      <c r="N10" s="375"/>
      <c r="O10" s="375"/>
      <c r="P10" s="375"/>
      <c r="Q10" s="375">
        <f>Table148[[#This Row],[Red target]]-Table148[[#This Row],[Red target]]*0.5</f>
        <v>0</v>
      </c>
      <c r="R10" s="375"/>
      <c r="S10" s="375"/>
      <c r="T10" s="375"/>
      <c r="U10" s="375"/>
      <c r="V10" s="375"/>
      <c r="W10" s="375"/>
      <c r="X10" s="375"/>
      <c r="Y10" s="375"/>
      <c r="Z10" s="375"/>
      <c r="AA10" s="375"/>
      <c r="AB10" s="375"/>
      <c r="AC10" s="399"/>
      <c r="AD10" s="362"/>
      <c r="AE10" s="362"/>
      <c r="AF10" s="360"/>
      <c r="AG10" s="360"/>
      <c r="AH10" s="360"/>
      <c r="AI10" s="360"/>
    </row>
    <row r="11" spans="1:35" hidden="1" x14ac:dyDescent="0.25">
      <c r="A11" s="389"/>
      <c r="B11" s="372"/>
      <c r="C11" s="372"/>
      <c r="D11" s="378" t="s">
        <v>685</v>
      </c>
      <c r="E11" s="382">
        <v>86</v>
      </c>
      <c r="F11" s="383">
        <v>85</v>
      </c>
      <c r="G11" s="384">
        <v>85</v>
      </c>
      <c r="H11" s="421"/>
      <c r="I11" s="375"/>
      <c r="J11" s="375"/>
      <c r="K11" s="375"/>
      <c r="L11" s="375">
        <f>Table148[[#This Row],[Ambitious target 2030]]+Table148[[#This Row],[Ambitious target 2030]]*0.5</f>
        <v>0</v>
      </c>
      <c r="M11" s="375"/>
      <c r="N11" s="375"/>
      <c r="O11" s="375"/>
      <c r="P11" s="375"/>
      <c r="Q11" s="375">
        <f>Table148[[#This Row],[Red target]]-Table148[[#This Row],[Red target]]*0.5</f>
        <v>0</v>
      </c>
      <c r="R11" s="375"/>
      <c r="S11" s="375"/>
      <c r="T11" s="375"/>
      <c r="U11" s="375"/>
      <c r="V11" s="375"/>
      <c r="W11" s="375"/>
      <c r="X11" s="375"/>
      <c r="Y11" s="375"/>
      <c r="Z11" s="375"/>
      <c r="AA11" s="375"/>
      <c r="AB11" s="375"/>
      <c r="AC11" s="399"/>
      <c r="AD11" s="362"/>
      <c r="AE11" s="362"/>
      <c r="AF11" s="360"/>
      <c r="AG11" s="360"/>
      <c r="AH11" s="360"/>
      <c r="AI11" s="360"/>
    </row>
    <row r="12" spans="1:35" hidden="1" x14ac:dyDescent="0.25">
      <c r="A12" s="389"/>
      <c r="B12" s="372"/>
      <c r="C12" s="372"/>
      <c r="D12" s="378" t="s">
        <v>862</v>
      </c>
      <c r="E12" s="382">
        <v>96</v>
      </c>
      <c r="F12" s="383">
        <v>92</v>
      </c>
      <c r="G12" s="384">
        <v>87</v>
      </c>
      <c r="H12" s="421"/>
      <c r="I12" s="375"/>
      <c r="J12" s="375"/>
      <c r="K12" s="375"/>
      <c r="L12" s="375">
        <f>Table148[[#This Row],[Ambitious target 2030]]+Table148[[#This Row],[Ambitious target 2030]]*0.5</f>
        <v>0</v>
      </c>
      <c r="M12" s="375"/>
      <c r="N12" s="375"/>
      <c r="O12" s="375"/>
      <c r="P12" s="375"/>
      <c r="Q12" s="375">
        <f>Table148[[#This Row],[Red target]]-Table148[[#This Row],[Red target]]*0.5</f>
        <v>0</v>
      </c>
      <c r="R12" s="375"/>
      <c r="S12" s="375"/>
      <c r="T12" s="375"/>
      <c r="U12" s="375"/>
      <c r="V12" s="375"/>
      <c r="W12" s="375"/>
      <c r="X12" s="375"/>
      <c r="Y12" s="375"/>
      <c r="Z12" s="375"/>
      <c r="AA12" s="375"/>
      <c r="AB12" s="375"/>
      <c r="AC12" s="399"/>
      <c r="AD12" s="362"/>
      <c r="AE12" s="362"/>
      <c r="AF12" s="360"/>
      <c r="AG12" s="360"/>
      <c r="AH12" s="360"/>
      <c r="AI12" s="360"/>
    </row>
    <row r="13" spans="1:35" hidden="1" x14ac:dyDescent="0.25">
      <c r="A13" s="389"/>
      <c r="B13" s="372"/>
      <c r="C13" s="372"/>
      <c r="D13" s="378" t="s">
        <v>863</v>
      </c>
      <c r="E13" s="382">
        <v>91</v>
      </c>
      <c r="F13" s="383">
        <v>90</v>
      </c>
      <c r="G13" s="384">
        <v>89</v>
      </c>
      <c r="H13" s="421"/>
      <c r="I13" s="375"/>
      <c r="J13" s="375"/>
      <c r="K13" s="375"/>
      <c r="L13" s="375">
        <f>Table148[[#This Row],[Ambitious target 2030]]+Table148[[#This Row],[Ambitious target 2030]]*0.5</f>
        <v>0</v>
      </c>
      <c r="M13" s="375"/>
      <c r="N13" s="375"/>
      <c r="O13" s="375"/>
      <c r="P13" s="375"/>
      <c r="Q13" s="375">
        <f>Table148[[#This Row],[Red target]]-Table148[[#This Row],[Red target]]*0.5</f>
        <v>0</v>
      </c>
      <c r="R13" s="375"/>
      <c r="S13" s="375"/>
      <c r="T13" s="375"/>
      <c r="U13" s="375"/>
      <c r="V13" s="375"/>
      <c r="W13" s="375"/>
      <c r="X13" s="375"/>
      <c r="Y13" s="375"/>
      <c r="Z13" s="375"/>
      <c r="AA13" s="375"/>
      <c r="AB13" s="375"/>
      <c r="AC13" s="399"/>
      <c r="AD13" s="362"/>
      <c r="AE13" s="362"/>
      <c r="AF13" s="360"/>
      <c r="AG13" s="360"/>
      <c r="AH13" s="360"/>
      <c r="AI13" s="360"/>
    </row>
    <row r="14" spans="1:35" s="386" customFormat="1" hidden="1" x14ac:dyDescent="0.25">
      <c r="A14" s="409"/>
      <c r="B14" s="406"/>
      <c r="C14" s="406"/>
      <c r="D14" s="406"/>
      <c r="E14" s="407">
        <v>2015</v>
      </c>
      <c r="F14" s="407">
        <v>2016</v>
      </c>
      <c r="G14" s="407">
        <v>2017</v>
      </c>
      <c r="H14" s="407"/>
      <c r="I14" s="407"/>
      <c r="J14" s="407"/>
      <c r="K14" s="407"/>
      <c r="L14" s="407">
        <f>Table148[[#This Row],[Ambitious target 2030]]+Table148[[#This Row],[Ambitious target 2030]]*0.5</f>
        <v>0</v>
      </c>
      <c r="M14" s="407"/>
      <c r="N14" s="407"/>
      <c r="O14" s="407"/>
      <c r="P14" s="407"/>
      <c r="Q14" s="407">
        <f>Table148[[#This Row],[Red target]]-Table148[[#This Row],[Red target]]*0.5</f>
        <v>0</v>
      </c>
      <c r="R14" s="407"/>
      <c r="S14" s="407"/>
      <c r="T14" s="407"/>
      <c r="U14" s="407"/>
      <c r="V14" s="407"/>
      <c r="W14" s="407"/>
      <c r="X14" s="407"/>
      <c r="Y14" s="407"/>
      <c r="Z14" s="407"/>
      <c r="AA14" s="407"/>
      <c r="AB14" s="407"/>
      <c r="AC14" s="413"/>
    </row>
    <row r="15" spans="1:35"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Table148[[#This Row],[Ambitious target 2030]]+Table148[[#This Row],[Ambitious target 2030]]*0.5</f>
        <v>10092.263999999999</v>
      </c>
      <c r="M15" s="421">
        <f>AVERAGE(G16:G20)*0.7</f>
        <v>6728.1759999999995</v>
      </c>
      <c r="N15" s="421"/>
      <c r="O15" s="421">
        <f>(M15-K15)*0.5+K15</f>
        <v>5093.1530000000002</v>
      </c>
      <c r="P15" s="421">
        <f>(Table148[[#This Row],[Ambitious target 2030]]-Table148[[#This Row],[Model reference value]])*0.25+Table148[[#This Row],[Model reference value]]</f>
        <v>4275.6414999999997</v>
      </c>
      <c r="Q15" s="421">
        <f>Table148[[#This Row],[Red target]]-Table148[[#This Row],[Red target]]*0.5</f>
        <v>1729.0650000000001</v>
      </c>
      <c r="R15" s="421">
        <f>AVERAGE(G16:G20)</f>
        <v>9611.68</v>
      </c>
      <c r="S15" s="421"/>
      <c r="T15" s="421">
        <f>(Table148[[#This Row],[Ambitious target 2050]]-Table148[[#This Row],[Model reference value]])*0.5+Table148[[#This Row],[Model reference value]]</f>
        <v>6534.9050000000007</v>
      </c>
      <c r="U15" s="421">
        <f>(Table148[[#This Row],[Ambitious target 2050]]-Table148[[#This Row],[Model reference value]])*0.25+Table148[[#This Row],[Model reference value]]</f>
        <v>4996.5174999999999</v>
      </c>
      <c r="V15" s="421">
        <f>AVERAGE(G16:G20)*1.3</f>
        <v>12495.184000000001</v>
      </c>
      <c r="W15" s="421"/>
      <c r="X15" s="421">
        <f>(Table148[[#This Row],[Ambitious target 2100]]-Table148[[#This Row],[Model reference value]])*0.5+Table148[[#This Row],[Model reference value]]</f>
        <v>7976.6570000000002</v>
      </c>
      <c r="Y15" s="421">
        <f>(Table148[[#This Row],[Ambitious target 2100]]-Table148[[#This Row],[Model reference value]])*0.25+Table148[[#This Row],[Model reference value]]</f>
        <v>5717.3935000000001</v>
      </c>
      <c r="Z15" s="421">
        <f>K15</f>
        <v>3458.13</v>
      </c>
      <c r="AA15" s="421" t="s">
        <v>978</v>
      </c>
      <c r="AB15" s="421" t="s">
        <v>1168</v>
      </c>
      <c r="AC15" s="419" t="s">
        <v>665</v>
      </c>
      <c r="AD15" s="360"/>
      <c r="AE15" s="360"/>
      <c r="AF15" s="360"/>
      <c r="AG15" s="360"/>
      <c r="AH15" s="360"/>
      <c r="AI15" s="360"/>
    </row>
    <row r="16" spans="1:35" hidden="1" x14ac:dyDescent="0.25">
      <c r="A16" s="390"/>
      <c r="B16" s="369"/>
      <c r="C16" s="369"/>
      <c r="D16" s="369" t="s">
        <v>678</v>
      </c>
      <c r="E16" s="379">
        <v>13956.1</v>
      </c>
      <c r="F16" s="380">
        <v>12931.2</v>
      </c>
      <c r="G16" s="381">
        <v>12964.2</v>
      </c>
      <c r="H16" s="421">
        <v>2017</v>
      </c>
      <c r="I16" s="375">
        <v>12964.2</v>
      </c>
      <c r="J16" s="375"/>
      <c r="K16" s="375"/>
      <c r="L16" s="375">
        <f>Table148[[#This Row],[Ambitious target 2030]]+Table148[[#This Row],[Ambitious target 2030]]*0.5</f>
        <v>0</v>
      </c>
      <c r="M16" s="375"/>
      <c r="N16" s="375"/>
      <c r="O16" s="375"/>
      <c r="P16" s="375"/>
      <c r="Q16" s="375">
        <f>Table148[[#This Row],[Red target]]-Table148[[#This Row],[Red target]]*0.5</f>
        <v>0</v>
      </c>
      <c r="R16" s="375"/>
      <c r="S16" s="375"/>
      <c r="T16" s="375"/>
      <c r="U16" s="375"/>
      <c r="V16" s="375"/>
      <c r="W16" s="375"/>
      <c r="X16" s="375"/>
      <c r="Y16" s="375"/>
      <c r="Z16" s="375"/>
      <c r="AA16" s="375"/>
      <c r="AB16" s="375"/>
      <c r="AC16" s="396"/>
      <c r="AD16" s="360"/>
      <c r="AE16" s="360"/>
      <c r="AF16" s="360"/>
      <c r="AG16" s="360"/>
      <c r="AH16" s="360"/>
      <c r="AI16" s="360"/>
    </row>
    <row r="17" spans="1:35" hidden="1" x14ac:dyDescent="0.25">
      <c r="A17" s="390"/>
      <c r="B17" s="369"/>
      <c r="C17" s="369"/>
      <c r="D17" s="369" t="s">
        <v>679</v>
      </c>
      <c r="E17" s="379">
        <v>9842.2000000000007</v>
      </c>
      <c r="F17" s="380">
        <v>6984.8</v>
      </c>
      <c r="G17" s="381">
        <v>9050.7000000000007</v>
      </c>
      <c r="H17" s="421">
        <v>2017</v>
      </c>
      <c r="I17" s="375">
        <v>9050.7000000000007</v>
      </c>
      <c r="J17" s="375"/>
      <c r="K17" s="375"/>
      <c r="L17" s="375">
        <f>Table148[[#This Row],[Ambitious target 2030]]+Table148[[#This Row],[Ambitious target 2030]]*0.5</f>
        <v>0</v>
      </c>
      <c r="M17" s="375"/>
      <c r="N17" s="375"/>
      <c r="O17" s="375"/>
      <c r="P17" s="375"/>
      <c r="Q17" s="375">
        <f>Table148[[#This Row],[Red target]]-Table148[[#This Row],[Red target]]*0.5</f>
        <v>0</v>
      </c>
      <c r="R17" s="375"/>
      <c r="S17" s="375"/>
      <c r="T17" s="375"/>
      <c r="U17" s="375"/>
      <c r="V17" s="375"/>
      <c r="W17" s="375"/>
      <c r="X17" s="375"/>
      <c r="Y17" s="375"/>
      <c r="Z17" s="375"/>
      <c r="AA17" s="375"/>
      <c r="AB17" s="375"/>
      <c r="AC17" s="396"/>
      <c r="AD17" s="360"/>
      <c r="AE17" s="360"/>
      <c r="AF17" s="360"/>
      <c r="AG17" s="360"/>
      <c r="AH17" s="360"/>
      <c r="AI17" s="360"/>
    </row>
    <row r="18" spans="1:35" hidden="1" x14ac:dyDescent="0.25">
      <c r="A18" s="390"/>
      <c r="B18" s="369"/>
      <c r="C18" s="369"/>
      <c r="D18" s="369" t="s">
        <v>680</v>
      </c>
      <c r="E18" s="379">
        <v>8752.7999999999993</v>
      </c>
      <c r="F18" s="380">
        <v>7776.9</v>
      </c>
      <c r="G18" s="381">
        <v>8794.1</v>
      </c>
      <c r="H18" s="421">
        <v>2017</v>
      </c>
      <c r="I18" s="375">
        <v>8794.1</v>
      </c>
      <c r="J18" s="375"/>
      <c r="K18" s="375"/>
      <c r="L18" s="375">
        <f>Table148[[#This Row],[Ambitious target 2030]]+Table148[[#This Row],[Ambitious target 2030]]*0.5</f>
        <v>0</v>
      </c>
      <c r="M18" s="375"/>
      <c r="N18" s="375"/>
      <c r="O18" s="375"/>
      <c r="P18" s="375"/>
      <c r="Q18" s="375">
        <f>Table148[[#This Row],[Red target]]-Table148[[#This Row],[Red target]]*0.5</f>
        <v>0</v>
      </c>
      <c r="R18" s="375"/>
      <c r="S18" s="375"/>
      <c r="T18" s="375"/>
      <c r="U18" s="375"/>
      <c r="V18" s="375"/>
      <c r="W18" s="375"/>
      <c r="X18" s="375"/>
      <c r="Y18" s="375"/>
      <c r="Z18" s="375"/>
      <c r="AA18" s="375"/>
      <c r="AB18" s="375"/>
      <c r="AC18" s="396"/>
      <c r="AD18" s="360"/>
      <c r="AE18" s="360"/>
      <c r="AF18" s="360"/>
      <c r="AG18" s="360"/>
      <c r="AH18" s="360"/>
      <c r="AI18" s="360"/>
    </row>
    <row r="19" spans="1:35" hidden="1" x14ac:dyDescent="0.25">
      <c r="A19" s="390"/>
      <c r="B19" s="369"/>
      <c r="C19" s="369"/>
      <c r="D19" s="369" t="s">
        <v>681</v>
      </c>
      <c r="E19" s="379">
        <v>9008.6</v>
      </c>
      <c r="F19" s="380">
        <v>8223.1</v>
      </c>
      <c r="G19" s="381">
        <v>8785</v>
      </c>
      <c r="H19" s="421">
        <v>2017</v>
      </c>
      <c r="I19" s="375">
        <v>8785</v>
      </c>
      <c r="J19" s="375"/>
      <c r="K19" s="375"/>
      <c r="L19" s="375">
        <f>Table148[[#This Row],[Ambitious target 2030]]+Table148[[#This Row],[Ambitious target 2030]]*0.5</f>
        <v>0</v>
      </c>
      <c r="M19" s="375"/>
      <c r="N19" s="375"/>
      <c r="O19" s="375"/>
      <c r="P19" s="375"/>
      <c r="Q19" s="375">
        <f>Table148[[#This Row],[Red target]]-Table148[[#This Row],[Red target]]*0.5</f>
        <v>0</v>
      </c>
      <c r="R19" s="375"/>
      <c r="S19" s="375"/>
      <c r="T19" s="375"/>
      <c r="U19" s="375"/>
      <c r="V19" s="375"/>
      <c r="W19" s="375"/>
      <c r="X19" s="375"/>
      <c r="Y19" s="375"/>
      <c r="Z19" s="375"/>
      <c r="AA19" s="375"/>
      <c r="AB19" s="375"/>
      <c r="AC19" s="396"/>
      <c r="AD19" s="360"/>
      <c r="AE19" s="360"/>
      <c r="AF19" s="360"/>
      <c r="AG19" s="360"/>
      <c r="AH19" s="360"/>
      <c r="AI19" s="360"/>
    </row>
    <row r="20" spans="1:35" hidden="1" x14ac:dyDescent="0.25">
      <c r="A20" s="390"/>
      <c r="B20" s="369"/>
      <c r="C20" s="369"/>
      <c r="D20" s="369" t="s">
        <v>682</v>
      </c>
      <c r="E20" s="379">
        <v>8026.6</v>
      </c>
      <c r="F20" s="380">
        <v>8383.7999999999993</v>
      </c>
      <c r="G20" s="381">
        <v>8464.4</v>
      </c>
      <c r="H20" s="421">
        <v>2017</v>
      </c>
      <c r="I20" s="375">
        <v>8464.4</v>
      </c>
      <c r="J20" s="375"/>
      <c r="K20" s="375"/>
      <c r="L20" s="375">
        <f>Table148[[#This Row],[Ambitious target 2030]]+Table148[[#This Row],[Ambitious target 2030]]*0.5</f>
        <v>0</v>
      </c>
      <c r="M20" s="375"/>
      <c r="N20" s="375"/>
      <c r="O20" s="375"/>
      <c r="P20" s="375"/>
      <c r="Q20" s="375">
        <f>Table148[[#This Row],[Red target]]-Table148[[#This Row],[Red target]]*0.5</f>
        <v>0</v>
      </c>
      <c r="R20" s="375"/>
      <c r="S20" s="375"/>
      <c r="T20" s="375"/>
      <c r="U20" s="375"/>
      <c r="V20" s="375"/>
      <c r="W20" s="375"/>
      <c r="X20" s="375"/>
      <c r="Y20" s="375"/>
      <c r="Z20" s="375"/>
      <c r="AA20" s="375"/>
      <c r="AB20" s="375"/>
      <c r="AC20" s="396"/>
      <c r="AD20" s="360"/>
      <c r="AE20" s="360"/>
      <c r="AF20" s="360"/>
      <c r="AG20" s="360"/>
      <c r="AH20" s="360"/>
      <c r="AI20" s="360"/>
    </row>
    <row r="21" spans="1:35" hidden="1" x14ac:dyDescent="0.25">
      <c r="A21" s="390"/>
      <c r="B21" s="369"/>
      <c r="C21" s="369"/>
      <c r="D21" s="369" t="s">
        <v>676</v>
      </c>
      <c r="E21" s="382">
        <v>551.29999999999995</v>
      </c>
      <c r="F21" s="383">
        <v>536.5</v>
      </c>
      <c r="G21" s="384">
        <v>541.9</v>
      </c>
      <c r="H21" s="421">
        <v>2017</v>
      </c>
      <c r="I21" s="375">
        <v>541.9</v>
      </c>
      <c r="J21" s="375"/>
      <c r="K21" s="375"/>
      <c r="L21" s="375">
        <f>Table148[[#This Row],[Ambitious target 2030]]+Table148[[#This Row],[Ambitious target 2030]]*0.5</f>
        <v>0</v>
      </c>
      <c r="M21" s="375"/>
      <c r="N21" s="375"/>
      <c r="O21" s="375"/>
      <c r="P21" s="375"/>
      <c r="Q21" s="375">
        <f>Table148[[#This Row],[Red target]]-Table148[[#This Row],[Red target]]*0.5</f>
        <v>0</v>
      </c>
      <c r="R21" s="375"/>
      <c r="S21" s="375"/>
      <c r="T21" s="375"/>
      <c r="U21" s="375"/>
      <c r="V21" s="375"/>
      <c r="W21" s="375"/>
      <c r="X21" s="375"/>
      <c r="Y21" s="375"/>
      <c r="Z21" s="375"/>
      <c r="AA21" s="375"/>
      <c r="AB21" s="375"/>
      <c r="AC21" s="396"/>
      <c r="AD21" s="360"/>
      <c r="AE21" s="360"/>
      <c r="AF21" s="360"/>
      <c r="AG21" s="360"/>
      <c r="AH21" s="360"/>
      <c r="AI21" s="360"/>
    </row>
    <row r="22" spans="1:35" hidden="1" x14ac:dyDescent="0.25">
      <c r="A22" s="390"/>
      <c r="B22" s="369"/>
      <c r="C22" s="369"/>
      <c r="D22" s="369" t="s">
        <v>683</v>
      </c>
      <c r="E22" s="382">
        <v>538</v>
      </c>
      <c r="F22" s="383">
        <v>507.2</v>
      </c>
      <c r="G22" s="384">
        <v>547</v>
      </c>
      <c r="H22" s="421">
        <v>2017</v>
      </c>
      <c r="I22" s="375">
        <v>547</v>
      </c>
      <c r="J22" s="375"/>
      <c r="K22" s="375"/>
      <c r="L22" s="375">
        <f>Table148[[#This Row],[Ambitious target 2030]]+Table148[[#This Row],[Ambitious target 2030]]*0.5</f>
        <v>0</v>
      </c>
      <c r="M22" s="375"/>
      <c r="N22" s="375"/>
      <c r="O22" s="375"/>
      <c r="P22" s="375"/>
      <c r="Q22" s="375">
        <f>Table148[[#This Row],[Red target]]-Table148[[#This Row],[Red target]]*0.5</f>
        <v>0</v>
      </c>
      <c r="R22" s="375"/>
      <c r="S22" s="375"/>
      <c r="T22" s="375"/>
      <c r="U22" s="375"/>
      <c r="V22" s="375"/>
      <c r="W22" s="375"/>
      <c r="X22" s="375"/>
      <c r="Y22" s="375"/>
      <c r="Z22" s="375"/>
      <c r="AA22" s="375"/>
      <c r="AB22" s="375"/>
      <c r="AC22" s="396"/>
      <c r="AD22" s="360"/>
      <c r="AE22" s="360"/>
      <c r="AF22" s="360"/>
      <c r="AG22" s="360"/>
      <c r="AH22" s="360"/>
      <c r="AI22" s="360"/>
    </row>
    <row r="23" spans="1:35" hidden="1" x14ac:dyDescent="0.25">
      <c r="A23" s="390"/>
      <c r="B23" s="369"/>
      <c r="C23" s="369"/>
      <c r="D23" s="369" t="s">
        <v>684</v>
      </c>
      <c r="E23" s="382">
        <v>553.6</v>
      </c>
      <c r="F23" s="383">
        <v>1279.4000000000001</v>
      </c>
      <c r="G23" s="384">
        <v>609.20000000000005</v>
      </c>
      <c r="H23" s="421">
        <v>2017</v>
      </c>
      <c r="I23" s="375">
        <v>609.20000000000005</v>
      </c>
      <c r="J23" s="375"/>
      <c r="K23" s="375"/>
      <c r="L23" s="375">
        <f>Table148[[#This Row],[Ambitious target 2030]]+Table148[[#This Row],[Ambitious target 2030]]*0.5</f>
        <v>0</v>
      </c>
      <c r="M23" s="375"/>
      <c r="N23" s="375"/>
      <c r="O23" s="375"/>
      <c r="P23" s="375"/>
      <c r="Q23" s="375">
        <f>Table148[[#This Row],[Red target]]-Table148[[#This Row],[Red target]]*0.5</f>
        <v>0</v>
      </c>
      <c r="R23" s="375"/>
      <c r="S23" s="375"/>
      <c r="T23" s="375"/>
      <c r="U23" s="375"/>
      <c r="V23" s="375"/>
      <c r="W23" s="375"/>
      <c r="X23" s="375"/>
      <c r="Y23" s="375"/>
      <c r="Z23" s="375"/>
      <c r="AA23" s="375"/>
      <c r="AB23" s="375"/>
      <c r="AC23" s="396"/>
      <c r="AD23" s="360"/>
      <c r="AE23" s="360"/>
      <c r="AF23" s="360"/>
      <c r="AG23" s="360"/>
      <c r="AH23" s="360"/>
      <c r="AI23" s="360"/>
    </row>
    <row r="24" spans="1:35" hidden="1" x14ac:dyDescent="0.25">
      <c r="A24" s="390"/>
      <c r="B24" s="369"/>
      <c r="C24" s="369"/>
      <c r="D24" s="369" t="s">
        <v>685</v>
      </c>
      <c r="E24" s="382">
        <v>558.20000000000005</v>
      </c>
      <c r="F24" s="383">
        <v>581.79999999999995</v>
      </c>
      <c r="G24" s="384">
        <v>616</v>
      </c>
      <c r="H24" s="421">
        <v>2017</v>
      </c>
      <c r="I24" s="375">
        <v>616</v>
      </c>
      <c r="J24" s="375"/>
      <c r="K24" s="375"/>
      <c r="L24" s="375">
        <f>Table148[[#This Row],[Ambitious target 2030]]+Table148[[#This Row],[Ambitious target 2030]]*0.5</f>
        <v>0</v>
      </c>
      <c r="M24" s="375"/>
      <c r="N24" s="375"/>
      <c r="O24" s="375"/>
      <c r="P24" s="375"/>
      <c r="Q24" s="375">
        <f>Table148[[#This Row],[Red target]]-Table148[[#This Row],[Red target]]*0.5</f>
        <v>0</v>
      </c>
      <c r="R24" s="375"/>
      <c r="S24" s="375"/>
      <c r="T24" s="375"/>
      <c r="U24" s="375"/>
      <c r="V24" s="375"/>
      <c r="W24" s="375"/>
      <c r="X24" s="375"/>
      <c r="Y24" s="375"/>
      <c r="Z24" s="375"/>
      <c r="AA24" s="375"/>
      <c r="AB24" s="375"/>
      <c r="AC24" s="396"/>
      <c r="AD24" s="360"/>
      <c r="AE24" s="360"/>
      <c r="AF24" s="360"/>
      <c r="AG24" s="360"/>
      <c r="AH24" s="360"/>
      <c r="AI24" s="360"/>
    </row>
    <row r="25" spans="1:35" hidden="1" x14ac:dyDescent="0.25">
      <c r="A25" s="390"/>
      <c r="B25" s="369"/>
      <c r="C25" s="369"/>
      <c r="D25" s="369" t="s">
        <v>686</v>
      </c>
      <c r="E25" s="382">
        <v>569.9</v>
      </c>
      <c r="F25" s="383">
        <v>684.8</v>
      </c>
      <c r="G25" s="384">
        <v>674.2</v>
      </c>
      <c r="H25" s="421">
        <v>2017</v>
      </c>
      <c r="I25" s="375">
        <v>674.2</v>
      </c>
      <c r="J25" s="375"/>
      <c r="K25" s="375"/>
      <c r="L25" s="375">
        <f>Table148[[#This Row],[Ambitious target 2030]]+Table148[[#This Row],[Ambitious target 2030]]*0.5</f>
        <v>0</v>
      </c>
      <c r="M25" s="375"/>
      <c r="N25" s="375"/>
      <c r="O25" s="375"/>
      <c r="P25" s="375"/>
      <c r="Q25" s="375">
        <f>Table148[[#This Row],[Red target]]-Table148[[#This Row],[Red target]]*0.5</f>
        <v>0</v>
      </c>
      <c r="R25" s="375"/>
      <c r="S25" s="375"/>
      <c r="T25" s="375"/>
      <c r="U25" s="375"/>
      <c r="V25" s="375"/>
      <c r="W25" s="375"/>
      <c r="X25" s="375"/>
      <c r="Y25" s="375"/>
      <c r="Z25" s="375"/>
      <c r="AA25" s="375"/>
      <c r="AB25" s="375"/>
      <c r="AC25" s="396"/>
      <c r="AD25" s="360"/>
      <c r="AE25" s="360"/>
      <c r="AF25" s="360"/>
      <c r="AG25" s="360"/>
      <c r="AH25" s="360"/>
      <c r="AI25" s="360"/>
    </row>
    <row r="26" spans="1:35" s="386" customFormat="1" hidden="1" x14ac:dyDescent="0.25">
      <c r="A26" s="409"/>
      <c r="B26" s="406"/>
      <c r="C26" s="406"/>
      <c r="D26" s="406"/>
      <c r="E26" s="407">
        <v>2015</v>
      </c>
      <c r="F26" s="407">
        <v>2016</v>
      </c>
      <c r="G26" s="407">
        <v>2017</v>
      </c>
      <c r="H26" s="407"/>
      <c r="I26" s="407"/>
      <c r="J26" s="407"/>
      <c r="K26" s="407"/>
      <c r="L26" s="407">
        <f>Table148[[#This Row],[Ambitious target 2030]]+Table148[[#This Row],[Ambitious target 2030]]*0.5</f>
        <v>0</v>
      </c>
      <c r="M26" s="407"/>
      <c r="N26" s="407"/>
      <c r="O26" s="407"/>
      <c r="P26" s="407"/>
      <c r="Q26" s="407">
        <f>Table148[[#This Row],[Red target]]-Table148[[#This Row],[Red target]]*0.5</f>
        <v>0</v>
      </c>
      <c r="R26" s="407"/>
      <c r="S26" s="407"/>
      <c r="T26" s="407"/>
      <c r="U26" s="407"/>
      <c r="V26" s="407"/>
      <c r="W26" s="407"/>
      <c r="X26" s="407"/>
      <c r="Y26" s="407"/>
      <c r="Z26" s="407"/>
      <c r="AA26" s="407"/>
      <c r="AB26" s="407"/>
      <c r="AC26" s="413"/>
    </row>
    <row r="27" spans="1:35"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Table148[[#This Row],[Ambitious target 2030]]+Table148[[#This Row],[Ambitious target 2030]]*0.5</f>
        <v>14211940.319999998</v>
      </c>
      <c r="M27" s="425">
        <f>Table148[[#This Row],[Data reference value]]+Table148[[#This Row],[Data reference value]]*Table148[[#This Row],[Ambitious target improvement rate 2030]]</f>
        <v>9474626.879999999</v>
      </c>
      <c r="N27" s="425">
        <v>0.44</v>
      </c>
      <c r="O27" s="425">
        <f>(Table148[[#This Row],[Ambitious target 2030]]-Table148[[#This Row],[Model reference value]])*0.5+Table148[[#This Row],[Model reference value]]</f>
        <v>8131448.4399999995</v>
      </c>
      <c r="P27" s="425">
        <f>(Table148[[#This Row],[Ambitious target 2030]]-Table148[[#This Row],[Model reference value]])*0.25+Table148[[#This Row],[Model reference value]]</f>
        <v>7459859.2199999997</v>
      </c>
      <c r="Q27" s="421">
        <f>Table148[[#This Row],[Red target]]-Table148[[#This Row],[Red target]]*0.5</f>
        <v>3394135</v>
      </c>
      <c r="R27" s="421">
        <f>Table148[[#This Row],[Data reference value]]+Table148[[#This Row],[Data reference value]]*Table148[[#This Row],[Ambitious target improvement rate 2050]]</f>
        <v>11316915.439999999</v>
      </c>
      <c r="S27" s="421">
        <v>0.72</v>
      </c>
      <c r="T27" s="425">
        <f>(Table148[[#This Row],[Ambitious target 2050]]-Table148[[#This Row],[Model reference value]])*0.5+Table148[[#This Row],[Model reference value]]</f>
        <v>9052592.7199999988</v>
      </c>
      <c r="U27" s="425">
        <f>(Table148[[#This Row],[Ambitious target 2050]]-Table148[[#This Row],[Model reference value]])*0.25+Table148[[#This Row],[Model reference value]]</f>
        <v>7920431.3599999994</v>
      </c>
      <c r="V27" s="421">
        <f>Table148[[#This Row],[Data reference value]]+Table148[[#This Row],[Data reference value]]*Table148[[#This Row],[Ambitious target improvement rate 2100]]</f>
        <v>12501243.800000001</v>
      </c>
      <c r="W27" s="421">
        <v>0.9</v>
      </c>
      <c r="X27" s="425">
        <f>(Table148[[#This Row],[Ambitious target 2100]]-Table148[[#This Row],[Model reference value]])*0.5+Table148[[#This Row],[Model reference value]]</f>
        <v>9644756.9000000004</v>
      </c>
      <c r="Y27" s="425">
        <f>(Table148[[#This Row],[Ambitious target 2100]]-Table148[[#This Row],[Model reference value]])*0.25+Table148[[#This Row],[Model reference value]]</f>
        <v>8216513.4500000002</v>
      </c>
      <c r="Z27" s="425">
        <f>Table148[[#This Row],[Model reference value]]</f>
        <v>6788270</v>
      </c>
      <c r="AA27" s="421" t="s">
        <v>1140</v>
      </c>
      <c r="AB27" s="421" t="s">
        <v>1185</v>
      </c>
      <c r="AC27" s="419" t="s">
        <v>852</v>
      </c>
      <c r="AD27" s="360"/>
      <c r="AE27" s="360"/>
      <c r="AF27" s="360"/>
      <c r="AG27" s="360"/>
      <c r="AH27" s="360"/>
      <c r="AI27" s="360"/>
    </row>
    <row r="28" spans="1:35" hidden="1" x14ac:dyDescent="0.25">
      <c r="A28" s="390"/>
      <c r="B28" s="369"/>
      <c r="C28" s="369"/>
      <c r="D28" s="369"/>
      <c r="E28" s="379"/>
      <c r="F28" s="380"/>
      <c r="G28" s="381"/>
      <c r="H28" s="421"/>
      <c r="I28" s="375"/>
      <c r="J28" s="375"/>
      <c r="K28" s="375"/>
      <c r="L28" s="375">
        <f>Table148[[#This Row],[Ambitious target 2030]]+Table148[[#This Row],[Ambitious target 2030]]*0.5</f>
        <v>0</v>
      </c>
      <c r="M28" s="375"/>
      <c r="N28" s="375"/>
      <c r="O28" s="375"/>
      <c r="P28" s="375"/>
      <c r="Q28" s="375">
        <f>Table148[[#This Row],[Red target]]-Table148[[#This Row],[Red target]]*0.5</f>
        <v>0</v>
      </c>
      <c r="R28" s="375"/>
      <c r="S28" s="375"/>
      <c r="T28" s="375"/>
      <c r="U28" s="375"/>
      <c r="V28" s="375"/>
      <c r="W28" s="375"/>
      <c r="X28" s="375"/>
      <c r="Y28" s="375"/>
      <c r="Z28" s="375"/>
      <c r="AA28" s="375"/>
      <c r="AB28" s="375"/>
      <c r="AC28" s="396"/>
      <c r="AD28" s="360"/>
      <c r="AE28" s="360"/>
      <c r="AF28" s="360"/>
      <c r="AG28" s="360"/>
      <c r="AH28" s="360"/>
      <c r="AI28" s="360"/>
    </row>
    <row r="29" spans="1:35" hidden="1" x14ac:dyDescent="0.25">
      <c r="A29" s="390"/>
      <c r="B29" s="369"/>
      <c r="C29" s="369"/>
      <c r="D29" s="372"/>
      <c r="E29" s="379"/>
      <c r="F29" s="380"/>
      <c r="G29" s="381"/>
      <c r="H29" s="421"/>
      <c r="I29" s="375"/>
      <c r="J29" s="375"/>
      <c r="K29" s="375"/>
      <c r="L29" s="431">
        <f>Table148[[#This Row],[Ambitious target 2030]]+Table148[[#This Row],[Ambitious target 2030]]*0.5</f>
        <v>0</v>
      </c>
      <c r="M29" s="375"/>
      <c r="N29" s="375"/>
      <c r="O29" s="431"/>
      <c r="P29" s="431"/>
      <c r="Q29" s="431">
        <f>Table148[[#This Row],[Red target]]-Table148[[#This Row],[Red target]]*0.5</f>
        <v>0</v>
      </c>
      <c r="R29" s="431"/>
      <c r="S29" s="431"/>
      <c r="T29" s="431"/>
      <c r="U29" s="431"/>
      <c r="V29" s="431"/>
      <c r="W29" s="431"/>
      <c r="X29" s="431"/>
      <c r="Y29" s="431"/>
      <c r="Z29" s="431"/>
      <c r="AA29" s="375"/>
      <c r="AB29" s="375"/>
      <c r="AC29" s="396"/>
      <c r="AD29" s="360"/>
      <c r="AE29" s="360"/>
      <c r="AF29" s="360"/>
      <c r="AG29" s="360"/>
      <c r="AH29" s="360"/>
      <c r="AI29" s="360"/>
    </row>
    <row r="30" spans="1:35" hidden="1" x14ac:dyDescent="0.25">
      <c r="A30" s="390"/>
      <c r="B30" s="369"/>
      <c r="C30" s="369"/>
      <c r="D30" s="372"/>
      <c r="E30" s="379"/>
      <c r="F30" s="380"/>
      <c r="G30" s="381"/>
      <c r="H30" s="421"/>
      <c r="I30" s="375"/>
      <c r="J30" s="375"/>
      <c r="K30" s="375"/>
      <c r="L30" s="431">
        <f>Table148[[#This Row],[Ambitious target 2030]]+Table148[[#This Row],[Ambitious target 2030]]*0.5</f>
        <v>0</v>
      </c>
      <c r="M30" s="375"/>
      <c r="N30" s="375"/>
      <c r="O30" s="431"/>
      <c r="P30" s="431"/>
      <c r="Q30" s="431">
        <f>Table148[[#This Row],[Red target]]-Table148[[#This Row],[Red target]]*0.5</f>
        <v>0</v>
      </c>
      <c r="R30" s="431"/>
      <c r="S30" s="431"/>
      <c r="T30" s="431"/>
      <c r="U30" s="431"/>
      <c r="V30" s="431"/>
      <c r="W30" s="431"/>
      <c r="X30" s="431"/>
      <c r="Y30" s="431"/>
      <c r="Z30" s="431"/>
      <c r="AA30" s="375"/>
      <c r="AB30" s="375"/>
      <c r="AC30" s="396"/>
      <c r="AD30" s="360"/>
      <c r="AE30" s="360"/>
      <c r="AF30" s="360"/>
      <c r="AG30" s="360"/>
      <c r="AH30" s="360"/>
      <c r="AI30" s="360"/>
    </row>
    <row r="31" spans="1:35" hidden="1" x14ac:dyDescent="0.25">
      <c r="A31" s="390"/>
      <c r="B31" s="369"/>
      <c r="C31" s="369"/>
      <c r="D31" s="372"/>
      <c r="E31" s="379"/>
      <c r="F31" s="380"/>
      <c r="G31" s="381"/>
      <c r="H31" s="421"/>
      <c r="I31" s="375"/>
      <c r="J31" s="375"/>
      <c r="K31" s="375"/>
      <c r="L31" s="431">
        <f>Table148[[#This Row],[Ambitious target 2030]]+Table148[[#This Row],[Ambitious target 2030]]*0.5</f>
        <v>0</v>
      </c>
      <c r="M31" s="375"/>
      <c r="N31" s="375"/>
      <c r="O31" s="431"/>
      <c r="P31" s="431"/>
      <c r="Q31" s="431">
        <f>Table148[[#This Row],[Red target]]-Table148[[#This Row],[Red target]]*0.5</f>
        <v>0</v>
      </c>
      <c r="R31" s="431"/>
      <c r="S31" s="431"/>
      <c r="T31" s="431"/>
      <c r="U31" s="431"/>
      <c r="V31" s="431"/>
      <c r="W31" s="431"/>
      <c r="X31" s="431"/>
      <c r="Y31" s="431"/>
      <c r="Z31" s="431"/>
      <c r="AA31" s="375"/>
      <c r="AB31" s="375"/>
      <c r="AC31" s="396"/>
      <c r="AD31" s="360"/>
      <c r="AE31" s="360"/>
      <c r="AF31" s="360"/>
      <c r="AG31" s="360"/>
      <c r="AH31" s="360"/>
      <c r="AI31" s="360"/>
    </row>
    <row r="32" spans="1:35" hidden="1" x14ac:dyDescent="0.25">
      <c r="A32" s="390"/>
      <c r="B32" s="369"/>
      <c r="C32" s="369"/>
      <c r="D32" s="372"/>
      <c r="E32" s="379"/>
      <c r="F32" s="380"/>
      <c r="G32" s="381"/>
      <c r="H32" s="421"/>
      <c r="I32" s="375"/>
      <c r="J32" s="375"/>
      <c r="K32" s="375"/>
      <c r="L32" s="431">
        <f>Table148[[#This Row],[Ambitious target 2030]]+Table148[[#This Row],[Ambitious target 2030]]*0.5</f>
        <v>0</v>
      </c>
      <c r="M32" s="375"/>
      <c r="N32" s="375"/>
      <c r="O32" s="431"/>
      <c r="P32" s="431"/>
      <c r="Q32" s="431">
        <f>Table148[[#This Row],[Red target]]-Table148[[#This Row],[Red target]]*0.5</f>
        <v>0</v>
      </c>
      <c r="R32" s="431"/>
      <c r="S32" s="431"/>
      <c r="T32" s="431"/>
      <c r="U32" s="431"/>
      <c r="V32" s="431"/>
      <c r="W32" s="431"/>
      <c r="X32" s="431"/>
      <c r="Y32" s="431"/>
      <c r="Z32" s="431"/>
      <c r="AA32" s="375"/>
      <c r="AB32" s="375"/>
      <c r="AC32" s="396"/>
      <c r="AD32" s="360"/>
      <c r="AE32" s="360"/>
      <c r="AF32" s="360"/>
      <c r="AG32" s="360"/>
      <c r="AH32" s="360"/>
      <c r="AI32" s="360"/>
    </row>
    <row r="33" spans="1:35" hidden="1" x14ac:dyDescent="0.25">
      <c r="A33" s="390"/>
      <c r="B33" s="369"/>
      <c r="C33" s="369"/>
      <c r="D33" s="369"/>
      <c r="E33" s="382"/>
      <c r="F33" s="383"/>
      <c r="G33" s="384"/>
      <c r="H33" s="421"/>
      <c r="I33" s="375"/>
      <c r="J33" s="375"/>
      <c r="K33" s="375"/>
      <c r="L33" s="375">
        <f>Table148[[#This Row],[Ambitious target 2030]]+Table148[[#This Row],[Ambitious target 2030]]*0.5</f>
        <v>0</v>
      </c>
      <c r="M33" s="375"/>
      <c r="N33" s="375"/>
      <c r="O33" s="375"/>
      <c r="P33" s="375"/>
      <c r="Q33" s="375">
        <f>Table148[[#This Row],[Red target]]-Table148[[#This Row],[Red target]]*0.5</f>
        <v>0</v>
      </c>
      <c r="R33" s="375"/>
      <c r="S33" s="375"/>
      <c r="T33" s="375"/>
      <c r="U33" s="375"/>
      <c r="V33" s="375"/>
      <c r="W33" s="375"/>
      <c r="X33" s="375"/>
      <c r="Y33" s="375"/>
      <c r="Z33" s="375"/>
      <c r="AA33" s="375"/>
      <c r="AB33" s="375"/>
      <c r="AC33" s="396"/>
      <c r="AD33" s="360"/>
      <c r="AE33" s="360"/>
      <c r="AF33" s="360"/>
      <c r="AG33" s="360"/>
      <c r="AH33" s="360"/>
      <c r="AI33" s="360"/>
    </row>
    <row r="34" spans="1:35" hidden="1" x14ac:dyDescent="0.25">
      <c r="A34" s="390"/>
      <c r="B34" s="369"/>
      <c r="C34" s="369"/>
      <c r="D34" s="369"/>
      <c r="E34" s="382"/>
      <c r="F34" s="383"/>
      <c r="G34" s="384"/>
      <c r="H34" s="421"/>
      <c r="I34" s="375"/>
      <c r="J34" s="375"/>
      <c r="K34" s="375"/>
      <c r="L34" s="375">
        <f>Table148[[#This Row],[Ambitious target 2030]]+Table148[[#This Row],[Ambitious target 2030]]*0.5</f>
        <v>0</v>
      </c>
      <c r="M34" s="375"/>
      <c r="N34" s="375"/>
      <c r="O34" s="375"/>
      <c r="P34" s="375"/>
      <c r="Q34" s="375">
        <f>Table148[[#This Row],[Red target]]-Table148[[#This Row],[Red target]]*0.5</f>
        <v>0</v>
      </c>
      <c r="R34" s="375"/>
      <c r="S34" s="375"/>
      <c r="T34" s="375"/>
      <c r="U34" s="375"/>
      <c r="V34" s="375"/>
      <c r="W34" s="375"/>
      <c r="X34" s="375"/>
      <c r="Y34" s="375"/>
      <c r="Z34" s="375"/>
      <c r="AA34" s="375"/>
      <c r="AB34" s="375"/>
      <c r="AC34" s="396"/>
      <c r="AD34" s="360"/>
      <c r="AE34" s="360"/>
      <c r="AF34" s="360"/>
      <c r="AG34" s="360"/>
      <c r="AH34" s="360"/>
      <c r="AI34" s="360"/>
    </row>
    <row r="35" spans="1:35" hidden="1" x14ac:dyDescent="0.25">
      <c r="A35" s="390"/>
      <c r="B35" s="369"/>
      <c r="C35" s="369"/>
      <c r="D35" s="372"/>
      <c r="E35" s="382"/>
      <c r="F35" s="383"/>
      <c r="G35" s="384"/>
      <c r="H35" s="421"/>
      <c r="I35" s="375"/>
      <c r="J35" s="375"/>
      <c r="K35" s="375"/>
      <c r="L35" s="431">
        <f>Table148[[#This Row],[Ambitious target 2030]]+Table148[[#This Row],[Ambitious target 2030]]*0.5</f>
        <v>0</v>
      </c>
      <c r="M35" s="375"/>
      <c r="N35" s="375"/>
      <c r="O35" s="431"/>
      <c r="P35" s="431"/>
      <c r="Q35" s="431">
        <f>Table148[[#This Row],[Red target]]-Table148[[#This Row],[Red target]]*0.5</f>
        <v>0</v>
      </c>
      <c r="R35" s="431"/>
      <c r="S35" s="431"/>
      <c r="T35" s="431"/>
      <c r="U35" s="431"/>
      <c r="V35" s="431"/>
      <c r="W35" s="431"/>
      <c r="X35" s="431"/>
      <c r="Y35" s="431"/>
      <c r="Z35" s="431"/>
      <c r="AA35" s="375"/>
      <c r="AB35" s="375"/>
      <c r="AC35" s="396"/>
      <c r="AD35" s="360"/>
      <c r="AE35" s="360"/>
      <c r="AF35" s="360"/>
      <c r="AG35" s="360"/>
      <c r="AH35" s="360"/>
      <c r="AI35" s="360"/>
    </row>
    <row r="36" spans="1:35" hidden="1" x14ac:dyDescent="0.25">
      <c r="A36" s="390"/>
      <c r="B36" s="369"/>
      <c r="C36" s="369"/>
      <c r="D36" s="372"/>
      <c r="E36" s="382"/>
      <c r="F36" s="383"/>
      <c r="G36" s="384"/>
      <c r="H36" s="421"/>
      <c r="I36" s="375"/>
      <c r="J36" s="375"/>
      <c r="K36" s="375"/>
      <c r="L36" s="431">
        <f>Table148[[#This Row],[Ambitious target 2030]]+Table148[[#This Row],[Ambitious target 2030]]*0.5</f>
        <v>0</v>
      </c>
      <c r="M36" s="375"/>
      <c r="N36" s="375"/>
      <c r="O36" s="431"/>
      <c r="P36" s="431"/>
      <c r="Q36" s="431">
        <f>Table148[[#This Row],[Red target]]-Table148[[#This Row],[Red target]]*0.5</f>
        <v>0</v>
      </c>
      <c r="R36" s="431"/>
      <c r="S36" s="431"/>
      <c r="T36" s="431"/>
      <c r="U36" s="431"/>
      <c r="V36" s="431"/>
      <c r="W36" s="431"/>
      <c r="X36" s="431"/>
      <c r="Y36" s="431"/>
      <c r="Z36" s="431"/>
      <c r="AA36" s="375"/>
      <c r="AB36" s="375"/>
      <c r="AC36" s="396"/>
      <c r="AD36" s="360"/>
      <c r="AE36" s="360"/>
      <c r="AF36" s="360"/>
      <c r="AG36" s="360"/>
      <c r="AH36" s="360"/>
      <c r="AI36" s="360"/>
    </row>
    <row r="37" spans="1:35" hidden="1" x14ac:dyDescent="0.25">
      <c r="A37" s="390"/>
      <c r="B37" s="369"/>
      <c r="C37" s="369"/>
      <c r="D37" s="372"/>
      <c r="E37" s="382"/>
      <c r="F37" s="383"/>
      <c r="G37" s="384"/>
      <c r="H37" s="421"/>
      <c r="I37" s="375"/>
      <c r="J37" s="375"/>
      <c r="K37" s="375"/>
      <c r="L37" s="431">
        <f>Table148[[#This Row],[Ambitious target 2030]]+Table148[[#This Row],[Ambitious target 2030]]*0.5</f>
        <v>0</v>
      </c>
      <c r="M37" s="375"/>
      <c r="N37" s="375"/>
      <c r="O37" s="431"/>
      <c r="P37" s="431"/>
      <c r="Q37" s="431">
        <f>Table148[[#This Row],[Red target]]-Table148[[#This Row],[Red target]]*0.5</f>
        <v>0</v>
      </c>
      <c r="R37" s="431"/>
      <c r="S37" s="431"/>
      <c r="T37" s="431"/>
      <c r="U37" s="431"/>
      <c r="V37" s="431"/>
      <c r="W37" s="431"/>
      <c r="X37" s="431"/>
      <c r="Y37" s="431"/>
      <c r="Z37" s="431"/>
      <c r="AA37" s="375"/>
      <c r="AB37" s="375"/>
      <c r="AC37" s="396"/>
      <c r="AD37" s="360"/>
      <c r="AE37" s="360"/>
      <c r="AF37" s="360"/>
      <c r="AG37" s="360"/>
      <c r="AH37" s="360"/>
      <c r="AI37" s="360"/>
    </row>
    <row r="38" spans="1:35" s="386" customFormat="1" hidden="1" x14ac:dyDescent="0.25">
      <c r="A38" s="409"/>
      <c r="B38" s="406"/>
      <c r="C38" s="406"/>
      <c r="D38" s="406"/>
      <c r="E38" s="407">
        <v>2015</v>
      </c>
      <c r="F38" s="407">
        <v>2016</v>
      </c>
      <c r="G38" s="407">
        <v>2017</v>
      </c>
      <c r="H38" s="407"/>
      <c r="I38" s="407"/>
      <c r="J38" s="407"/>
      <c r="K38" s="407"/>
      <c r="L38" s="407">
        <f>Table148[[#This Row],[Ambitious target 2030]]+Table148[[#This Row],[Ambitious target 2030]]*0.5</f>
        <v>0</v>
      </c>
      <c r="M38" s="407"/>
      <c r="N38" s="407"/>
      <c r="O38" s="407"/>
      <c r="P38" s="407"/>
      <c r="Q38" s="407">
        <f>Table148[[#This Row],[Red target]]-Table148[[#This Row],[Red target]]*0.5</f>
        <v>0</v>
      </c>
      <c r="R38" s="407"/>
      <c r="S38" s="407"/>
      <c r="T38" s="407"/>
      <c r="U38" s="407"/>
      <c r="V38" s="407"/>
      <c r="W38" s="407"/>
      <c r="X38" s="407"/>
      <c r="Y38" s="407"/>
      <c r="Z38" s="407"/>
      <c r="AA38" s="407"/>
      <c r="AB38" s="407"/>
      <c r="AC38" s="413"/>
    </row>
    <row r="39" spans="1:35"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Table148[[#This Row],[Ambitious target 2030]]+Table148[[#This Row],[Ambitious target 2030]]*0.5</f>
        <v>792781.47</v>
      </c>
      <c r="M39" s="421">
        <f>Table148[[#This Row],[Data reference value]]+Table148[[#This Row],[Data reference value]]*Table148[[#This Row],[Ambitious target improvement rate 2030]]</f>
        <v>528520.98</v>
      </c>
      <c r="N39" s="421">
        <v>0.63</v>
      </c>
      <c r="O39" s="421">
        <f>(Table148[[#This Row],[Ambitious target 2030]]-Table148[[#This Row],[Model reference value]])*0.5+Table148[[#This Row],[Model reference value]]</f>
        <v>434299.99</v>
      </c>
      <c r="P39" s="421">
        <f>(Table148[[#This Row],[Ambitious target 2030]]-Table148[[#This Row],[Model reference value]])*0.25+Table148[[#This Row],[Model reference value]]</f>
        <v>387189.495</v>
      </c>
      <c r="Q39" s="421">
        <f>Table148[[#This Row],[Red target]]-Table148[[#This Row],[Red target]]*0.5</f>
        <v>170039.5</v>
      </c>
      <c r="R39" s="421">
        <f>Table148[[#This Row],[Data reference value]]+Table148[[#This Row],[Data reference value]]*Table148[[#This Row],[Ambitious target improvement rate 2050]]</f>
        <v>710098.74</v>
      </c>
      <c r="S39" s="421">
        <v>1.19</v>
      </c>
      <c r="T39" s="421">
        <f>(Table148[[#This Row],[Ambitious target 2050]]-Table148[[#This Row],[Model reference value]])*0.5+Table148[[#This Row],[Model reference value]]</f>
        <v>525088.87</v>
      </c>
      <c r="U39" s="421">
        <f>(Table148[[#This Row],[Ambitious target 2050]]-Table148[[#This Row],[Model reference value]])*0.25+Table148[[#This Row],[Model reference value]]</f>
        <v>432583.935</v>
      </c>
      <c r="V39" s="421">
        <f>Table148[[#This Row],[Data reference value]]+Table148[[#This Row],[Data reference value]]*Table148[[#This Row],[Ambitious target improvement rate 2100]]</f>
        <v>710098.74</v>
      </c>
      <c r="W39" s="421">
        <v>1.19</v>
      </c>
      <c r="X39" s="421">
        <f>(Table148[[#This Row],[Ambitious target 2100]]-Table148[[#This Row],[Model reference value]])*0.5+Table148[[#This Row],[Model reference value]]</f>
        <v>525088.87</v>
      </c>
      <c r="Y39" s="421">
        <f>(Table148[[#This Row],[Ambitious target 2100]]-Table148[[#This Row],[Model reference value]])*0.25+Table148[[#This Row],[Model reference value]]</f>
        <v>432583.935</v>
      </c>
      <c r="Z39" s="421">
        <f>Table148[[#This Row],[Model reference value]]</f>
        <v>340079</v>
      </c>
      <c r="AA39" s="421" t="s">
        <v>1140</v>
      </c>
      <c r="AB39" s="421" t="s">
        <v>1186</v>
      </c>
      <c r="AC39" s="419" t="s">
        <v>852</v>
      </c>
      <c r="AD39" s="360"/>
      <c r="AE39" s="360"/>
      <c r="AF39" s="360"/>
      <c r="AG39" s="360"/>
      <c r="AH39" s="360"/>
      <c r="AI39" s="360"/>
    </row>
    <row r="40" spans="1:35" hidden="1" x14ac:dyDescent="0.25">
      <c r="A40" s="390"/>
      <c r="B40" s="369"/>
      <c r="C40" s="369"/>
      <c r="D40" s="369" t="s">
        <v>777</v>
      </c>
      <c r="E40" s="379">
        <v>88366</v>
      </c>
      <c r="F40" s="380">
        <v>87584</v>
      </c>
      <c r="G40" s="381">
        <v>88051</v>
      </c>
      <c r="H40" s="421"/>
      <c r="I40" s="375"/>
      <c r="J40" s="375"/>
      <c r="K40" s="375"/>
      <c r="L40" s="375">
        <f>Table148[[#This Row],[Ambitious target 2030]]+Table148[[#This Row],[Ambitious target 2030]]*0.5</f>
        <v>0</v>
      </c>
      <c r="M40" s="375"/>
      <c r="N40" s="375"/>
      <c r="O40" s="375"/>
      <c r="P40" s="375"/>
      <c r="Q40" s="375">
        <f>Table148[[#This Row],[Red target]]-Table148[[#This Row],[Red target]]*0.5</f>
        <v>0</v>
      </c>
      <c r="R40" s="375"/>
      <c r="S40" s="375"/>
      <c r="T40" s="375"/>
      <c r="U40" s="375"/>
      <c r="V40" s="375"/>
      <c r="W40" s="375"/>
      <c r="X40" s="375"/>
      <c r="Y40" s="375"/>
      <c r="Z40" s="375"/>
      <c r="AA40" s="375"/>
      <c r="AB40" s="375"/>
      <c r="AC40" s="396"/>
      <c r="AD40" s="360"/>
      <c r="AE40" s="360"/>
      <c r="AF40" s="360"/>
      <c r="AG40" s="360"/>
      <c r="AH40" s="360"/>
      <c r="AI40" s="360"/>
    </row>
    <row r="41" spans="1:35" hidden="1" x14ac:dyDescent="0.25">
      <c r="A41" s="390"/>
      <c r="B41" s="369"/>
      <c r="C41" s="369"/>
      <c r="D41" s="369" t="s">
        <v>847</v>
      </c>
      <c r="E41" s="379">
        <v>43275</v>
      </c>
      <c r="F41" s="380">
        <v>44636</v>
      </c>
      <c r="G41" s="381">
        <v>45791</v>
      </c>
      <c r="H41" s="421"/>
      <c r="I41" s="375"/>
      <c r="J41" s="375"/>
      <c r="K41" s="375"/>
      <c r="L41" s="375">
        <f>Table148[[#This Row],[Ambitious target 2030]]+Table148[[#This Row],[Ambitious target 2030]]*0.5</f>
        <v>0</v>
      </c>
      <c r="M41" s="375"/>
      <c r="N41" s="375"/>
      <c r="O41" s="375"/>
      <c r="P41" s="375"/>
      <c r="Q41" s="375">
        <f>Table148[[#This Row],[Red target]]-Table148[[#This Row],[Red target]]*0.5</f>
        <v>0</v>
      </c>
      <c r="R41" s="375"/>
      <c r="S41" s="375"/>
      <c r="T41" s="375"/>
      <c r="U41" s="375"/>
      <c r="V41" s="375"/>
      <c r="W41" s="375"/>
      <c r="X41" s="375"/>
      <c r="Y41" s="375"/>
      <c r="Z41" s="375"/>
      <c r="AA41" s="375"/>
      <c r="AB41" s="375"/>
      <c r="AC41" s="396"/>
      <c r="AD41" s="360"/>
      <c r="AE41" s="360"/>
      <c r="AF41" s="360"/>
      <c r="AG41" s="360"/>
      <c r="AH41" s="360"/>
      <c r="AI41" s="360"/>
    </row>
    <row r="42" spans="1:35" hidden="1" x14ac:dyDescent="0.25">
      <c r="A42" s="390"/>
      <c r="B42" s="369"/>
      <c r="C42" s="369"/>
      <c r="D42" s="369" t="s">
        <v>778</v>
      </c>
      <c r="E42" s="379">
        <v>26864</v>
      </c>
      <c r="F42" s="380">
        <v>27200</v>
      </c>
      <c r="G42" s="381">
        <v>27946</v>
      </c>
      <c r="H42" s="421"/>
      <c r="I42" s="375"/>
      <c r="J42" s="375"/>
      <c r="K42" s="375"/>
      <c r="L42" s="375">
        <f>Table148[[#This Row],[Ambitious target 2030]]+Table148[[#This Row],[Ambitious target 2030]]*0.5</f>
        <v>0</v>
      </c>
      <c r="M42" s="375"/>
      <c r="N42" s="375"/>
      <c r="O42" s="375"/>
      <c r="P42" s="375"/>
      <c r="Q42" s="375">
        <f>Table148[[#This Row],[Red target]]-Table148[[#This Row],[Red target]]*0.5</f>
        <v>0</v>
      </c>
      <c r="R42" s="375"/>
      <c r="S42" s="375"/>
      <c r="T42" s="375"/>
      <c r="U42" s="375"/>
      <c r="V42" s="375"/>
      <c r="W42" s="375"/>
      <c r="X42" s="375"/>
      <c r="Y42" s="375"/>
      <c r="Z42" s="375"/>
      <c r="AA42" s="375"/>
      <c r="AB42" s="375"/>
      <c r="AC42" s="396"/>
      <c r="AD42" s="360"/>
      <c r="AE42" s="360"/>
      <c r="AF42" s="360"/>
      <c r="AG42" s="360"/>
      <c r="AH42" s="360"/>
      <c r="AI42" s="360"/>
    </row>
    <row r="43" spans="1:35" hidden="1" x14ac:dyDescent="0.25">
      <c r="A43" s="390"/>
      <c r="B43" s="369"/>
      <c r="C43" s="369"/>
      <c r="D43" s="369" t="s">
        <v>841</v>
      </c>
      <c r="E43" s="379">
        <v>9570</v>
      </c>
      <c r="F43" s="380">
        <v>9904</v>
      </c>
      <c r="G43" s="381">
        <v>10389</v>
      </c>
      <c r="H43" s="421"/>
      <c r="I43" s="375"/>
      <c r="J43" s="375"/>
      <c r="K43" s="375"/>
      <c r="L43" s="375">
        <f>Table148[[#This Row],[Ambitious target 2030]]+Table148[[#This Row],[Ambitious target 2030]]*0.5</f>
        <v>0</v>
      </c>
      <c r="M43" s="375"/>
      <c r="N43" s="375"/>
      <c r="O43" s="375"/>
      <c r="P43" s="375"/>
      <c r="Q43" s="375">
        <f>Table148[[#This Row],[Red target]]-Table148[[#This Row],[Red target]]*0.5</f>
        <v>0</v>
      </c>
      <c r="R43" s="375"/>
      <c r="S43" s="375"/>
      <c r="T43" s="375"/>
      <c r="U43" s="375"/>
      <c r="V43" s="375"/>
      <c r="W43" s="375"/>
      <c r="X43" s="375"/>
      <c r="Y43" s="375"/>
      <c r="Z43" s="375"/>
      <c r="AA43" s="375"/>
      <c r="AB43" s="375"/>
      <c r="AC43" s="396"/>
      <c r="AD43" s="360"/>
      <c r="AE43" s="360"/>
      <c r="AF43" s="360"/>
      <c r="AG43" s="360"/>
      <c r="AH43" s="360"/>
      <c r="AI43" s="360"/>
    </row>
    <row r="44" spans="1:35" hidden="1" x14ac:dyDescent="0.25">
      <c r="A44" s="390"/>
      <c r="B44" s="369"/>
      <c r="C44" s="369"/>
      <c r="D44" s="369" t="s">
        <v>720</v>
      </c>
      <c r="E44" s="379">
        <v>8388</v>
      </c>
      <c r="F44" s="380">
        <v>8436</v>
      </c>
      <c r="G44" s="381">
        <v>8298</v>
      </c>
      <c r="H44" s="421"/>
      <c r="I44" s="375"/>
      <c r="J44" s="375"/>
      <c r="K44" s="375"/>
      <c r="L44" s="375">
        <f>Table148[[#This Row],[Ambitious target 2030]]+Table148[[#This Row],[Ambitious target 2030]]*0.5</f>
        <v>0</v>
      </c>
      <c r="M44" s="375"/>
      <c r="N44" s="375"/>
      <c r="O44" s="375"/>
      <c r="P44" s="375"/>
      <c r="Q44" s="375">
        <f>Table148[[#This Row],[Red target]]-Table148[[#This Row],[Red target]]*0.5</f>
        <v>0</v>
      </c>
      <c r="R44" s="375"/>
      <c r="S44" s="375"/>
      <c r="T44" s="375"/>
      <c r="U44" s="375"/>
      <c r="V44" s="375"/>
      <c r="W44" s="375"/>
      <c r="X44" s="375"/>
      <c r="Y44" s="375"/>
      <c r="Z44" s="375"/>
      <c r="AA44" s="375"/>
      <c r="AB44" s="375"/>
      <c r="AC44" s="396"/>
      <c r="AD44" s="360"/>
      <c r="AE44" s="360"/>
      <c r="AF44" s="360"/>
      <c r="AG44" s="360"/>
      <c r="AH44" s="360"/>
      <c r="AI44" s="360"/>
    </row>
    <row r="45" spans="1:35" hidden="1" x14ac:dyDescent="0.25">
      <c r="A45" s="390"/>
      <c r="B45" s="369"/>
      <c r="C45" s="369"/>
      <c r="D45" s="369" t="s">
        <v>848</v>
      </c>
      <c r="E45" s="382">
        <v>4</v>
      </c>
      <c r="F45" s="383">
        <v>4</v>
      </c>
      <c r="G45" s="384">
        <v>4</v>
      </c>
      <c r="H45" s="421"/>
      <c r="I45" s="375"/>
      <c r="J45" s="375"/>
      <c r="K45" s="375"/>
      <c r="L45" s="375">
        <f>Table148[[#This Row],[Ambitious target 2030]]+Table148[[#This Row],[Ambitious target 2030]]*0.5</f>
        <v>0</v>
      </c>
      <c r="M45" s="375"/>
      <c r="N45" s="375"/>
      <c r="O45" s="375"/>
      <c r="P45" s="375"/>
      <c r="Q45" s="375">
        <f>Table148[[#This Row],[Red target]]-Table148[[#This Row],[Red target]]*0.5</f>
        <v>0</v>
      </c>
      <c r="R45" s="375"/>
      <c r="S45" s="375"/>
      <c r="T45" s="375"/>
      <c r="U45" s="375"/>
      <c r="V45" s="375"/>
      <c r="W45" s="375"/>
      <c r="X45" s="375"/>
      <c r="Y45" s="375"/>
      <c r="Z45" s="375"/>
      <c r="AA45" s="375"/>
      <c r="AB45" s="375"/>
      <c r="AC45" s="396"/>
      <c r="AD45" s="360"/>
      <c r="AE45" s="360"/>
      <c r="AF45" s="360"/>
      <c r="AG45" s="360"/>
      <c r="AH45" s="360"/>
      <c r="AI45" s="360"/>
    </row>
    <row r="46" spans="1:35" hidden="1" x14ac:dyDescent="0.25">
      <c r="A46" s="390"/>
      <c r="B46" s="369"/>
      <c r="C46" s="369"/>
      <c r="D46" s="369" t="s">
        <v>849</v>
      </c>
      <c r="E46" s="382">
        <v>5</v>
      </c>
      <c r="F46" s="383">
        <v>5</v>
      </c>
      <c r="G46" s="384">
        <v>5</v>
      </c>
      <c r="H46" s="421"/>
      <c r="I46" s="375"/>
      <c r="J46" s="375"/>
      <c r="K46" s="375"/>
      <c r="L46" s="375">
        <f>Table148[[#This Row],[Ambitious target 2030]]+Table148[[#This Row],[Ambitious target 2030]]*0.5</f>
        <v>0</v>
      </c>
      <c r="M46" s="375"/>
      <c r="N46" s="375"/>
      <c r="O46" s="375"/>
      <c r="P46" s="375"/>
      <c r="Q46" s="375">
        <f>Table148[[#This Row],[Red target]]-Table148[[#This Row],[Red target]]*0.5</f>
        <v>0</v>
      </c>
      <c r="R46" s="375"/>
      <c r="S46" s="375"/>
      <c r="T46" s="375"/>
      <c r="U46" s="375"/>
      <c r="V46" s="375"/>
      <c r="W46" s="375"/>
      <c r="X46" s="375"/>
      <c r="Y46" s="375"/>
      <c r="Z46" s="375"/>
      <c r="AA46" s="375"/>
      <c r="AB46" s="375"/>
      <c r="AC46" s="396"/>
      <c r="AD46" s="360"/>
      <c r="AE46" s="360"/>
      <c r="AF46" s="360"/>
      <c r="AG46" s="360"/>
      <c r="AH46" s="360"/>
      <c r="AI46" s="360"/>
    </row>
    <row r="47" spans="1:35" hidden="1" x14ac:dyDescent="0.25">
      <c r="A47" s="390"/>
      <c r="B47" s="369"/>
      <c r="C47" s="369"/>
      <c r="D47" s="369" t="s">
        <v>850</v>
      </c>
      <c r="E47" s="382">
        <v>11</v>
      </c>
      <c r="F47" s="383">
        <v>11</v>
      </c>
      <c r="G47" s="384">
        <v>11</v>
      </c>
      <c r="H47" s="421"/>
      <c r="I47" s="375"/>
      <c r="J47" s="375"/>
      <c r="K47" s="375"/>
      <c r="L47" s="375">
        <f>Table148[[#This Row],[Ambitious target 2030]]+Table148[[#This Row],[Ambitious target 2030]]*0.5</f>
        <v>0</v>
      </c>
      <c r="M47" s="375"/>
      <c r="N47" s="375"/>
      <c r="O47" s="375"/>
      <c r="P47" s="375"/>
      <c r="Q47" s="375">
        <f>Table148[[#This Row],[Red target]]-Table148[[#This Row],[Red target]]*0.5</f>
        <v>0</v>
      </c>
      <c r="R47" s="375"/>
      <c r="S47" s="375"/>
      <c r="T47" s="375"/>
      <c r="U47" s="375"/>
      <c r="V47" s="375"/>
      <c r="W47" s="375"/>
      <c r="X47" s="375"/>
      <c r="Y47" s="375"/>
      <c r="Z47" s="375"/>
      <c r="AA47" s="375"/>
      <c r="AB47" s="375"/>
      <c r="AC47" s="396"/>
      <c r="AD47" s="360"/>
      <c r="AE47" s="360"/>
      <c r="AF47" s="360"/>
      <c r="AG47" s="360"/>
      <c r="AH47" s="360"/>
      <c r="AI47" s="360"/>
    </row>
    <row r="48" spans="1:35" hidden="1" x14ac:dyDescent="0.25">
      <c r="A48" s="390"/>
      <c r="B48" s="369"/>
      <c r="C48" s="369"/>
      <c r="D48" s="369" t="s">
        <v>851</v>
      </c>
      <c r="E48" s="382">
        <v>12</v>
      </c>
      <c r="F48" s="383">
        <v>11</v>
      </c>
      <c r="G48" s="384">
        <v>12</v>
      </c>
      <c r="H48" s="421"/>
      <c r="I48" s="375"/>
      <c r="J48" s="375"/>
      <c r="K48" s="375"/>
      <c r="L48" s="375">
        <f>Table148[[#This Row],[Ambitious target 2030]]+Table148[[#This Row],[Ambitious target 2030]]*0.5</f>
        <v>0</v>
      </c>
      <c r="M48" s="375"/>
      <c r="N48" s="375"/>
      <c r="O48" s="375"/>
      <c r="P48" s="375"/>
      <c r="Q48" s="375">
        <f>Table148[[#This Row],[Red target]]-Table148[[#This Row],[Red target]]*0.5</f>
        <v>0</v>
      </c>
      <c r="R48" s="375"/>
      <c r="S48" s="375"/>
      <c r="T48" s="375"/>
      <c r="U48" s="375"/>
      <c r="V48" s="375"/>
      <c r="W48" s="375"/>
      <c r="X48" s="375"/>
      <c r="Y48" s="375"/>
      <c r="Z48" s="375"/>
      <c r="AA48" s="375"/>
      <c r="AB48" s="375"/>
      <c r="AC48" s="396"/>
      <c r="AD48" s="360"/>
      <c r="AE48" s="360"/>
      <c r="AF48" s="360"/>
      <c r="AG48" s="360"/>
      <c r="AH48" s="360"/>
      <c r="AI48" s="360"/>
    </row>
    <row r="49" spans="1:35" hidden="1" x14ac:dyDescent="0.25">
      <c r="A49" s="390"/>
      <c r="B49" s="369"/>
      <c r="C49" s="369"/>
      <c r="D49" s="369" t="s">
        <v>713</v>
      </c>
      <c r="E49" s="382">
        <v>34</v>
      </c>
      <c r="F49" s="383">
        <v>37</v>
      </c>
      <c r="G49" s="384">
        <v>38</v>
      </c>
      <c r="H49" s="421"/>
      <c r="I49" s="375"/>
      <c r="J49" s="375"/>
      <c r="K49" s="375"/>
      <c r="L49" s="375">
        <f>Table148[[#This Row],[Ambitious target 2030]]+Table148[[#This Row],[Ambitious target 2030]]*0.5</f>
        <v>0</v>
      </c>
      <c r="M49" s="375"/>
      <c r="N49" s="375"/>
      <c r="O49" s="375"/>
      <c r="P49" s="375"/>
      <c r="Q49" s="375">
        <f>Table148[[#This Row],[Red target]]-Table148[[#This Row],[Red target]]*0.5</f>
        <v>0</v>
      </c>
      <c r="R49" s="375"/>
      <c r="S49" s="375"/>
      <c r="T49" s="375"/>
      <c r="U49" s="375"/>
      <c r="V49" s="375"/>
      <c r="W49" s="375"/>
      <c r="X49" s="375"/>
      <c r="Y49" s="375"/>
      <c r="Z49" s="375"/>
      <c r="AA49" s="375"/>
      <c r="AB49" s="375"/>
      <c r="AC49" s="396"/>
      <c r="AD49" s="360"/>
      <c r="AE49" s="360"/>
      <c r="AF49" s="360"/>
      <c r="AG49" s="360"/>
      <c r="AH49" s="360"/>
      <c r="AI49" s="360"/>
    </row>
    <row r="50" spans="1:35" s="386" customFormat="1" hidden="1" x14ac:dyDescent="0.25">
      <c r="A50" s="409"/>
      <c r="B50" s="406"/>
      <c r="C50" s="406"/>
      <c r="D50" s="406"/>
      <c r="E50" s="407">
        <v>2015</v>
      </c>
      <c r="F50" s="407">
        <v>2016</v>
      </c>
      <c r="G50" s="407">
        <v>2017</v>
      </c>
      <c r="H50" s="407"/>
      <c r="I50" s="407"/>
      <c r="J50" s="407"/>
      <c r="K50" s="407"/>
      <c r="L50" s="407">
        <f>Table148[[#This Row],[Ambitious target 2030]]+Table148[[#This Row],[Ambitious target 2030]]*0.5</f>
        <v>0</v>
      </c>
      <c r="M50" s="407"/>
      <c r="N50" s="407"/>
      <c r="O50" s="407"/>
      <c r="P50" s="407"/>
      <c r="Q50" s="407">
        <f>Table148[[#This Row],[Red target]]-Table148[[#This Row],[Red target]]*0.5</f>
        <v>0</v>
      </c>
      <c r="R50" s="407"/>
      <c r="S50" s="407"/>
      <c r="T50" s="407"/>
      <c r="U50" s="407"/>
      <c r="V50" s="407"/>
      <c r="W50" s="407"/>
      <c r="X50" s="407"/>
      <c r="Y50" s="407"/>
      <c r="Z50" s="407"/>
      <c r="AA50" s="407"/>
      <c r="AB50" s="407"/>
      <c r="AC50" s="413"/>
    </row>
    <row r="51" spans="1:35" x14ac:dyDescent="0.25">
      <c r="A51" s="418" t="s">
        <v>942</v>
      </c>
      <c r="B51" s="437" t="s">
        <v>1067</v>
      </c>
      <c r="C51" s="437" t="s">
        <v>191</v>
      </c>
      <c r="D51" s="436" t="s">
        <v>904</v>
      </c>
      <c r="E51" s="420">
        <v>0.36919999999999997</v>
      </c>
      <c r="F51" s="420">
        <v>0.36880000000000002</v>
      </c>
      <c r="G51" s="420">
        <v>0.37130000000000002</v>
      </c>
      <c r="H51" s="421">
        <v>2015</v>
      </c>
      <c r="I51" s="421">
        <v>0.36919999999999997</v>
      </c>
      <c r="J51" s="421">
        <v>2015</v>
      </c>
      <c r="K51" s="411">
        <v>0.37740699999999999</v>
      </c>
      <c r="L51" s="411">
        <f>Table148[[#This Row],[Ambitious target 2030]]-Table148[[#This Row],[Ambitious target 2030]]*0.5</f>
        <v>0.16613999999999998</v>
      </c>
      <c r="M51" s="421">
        <f>Table148[[#This Row],[Data reference value]]+Table148[[#This Row],[Data reference value]]*Table148[[#This Row],[Ambitious target improvement rate 2030]]</f>
        <v>0.33227999999999996</v>
      </c>
      <c r="N51" s="421">
        <v>-0.1</v>
      </c>
      <c r="O51" s="421">
        <f>(Table148[[#This Row],[Ambitious target 2030]]-Table148[[#This Row],[Model reference value]])*0.5+Table148[[#This Row],[Model reference value]]</f>
        <v>0.35484349999999998</v>
      </c>
      <c r="P51" s="421">
        <f>(Table148[[#This Row],[Ambitious target 2030]]-Table148[[#This Row],[Model reference value]])*0.25+Table148[[#This Row],[Model reference value]]</f>
        <v>0.36612524999999996</v>
      </c>
      <c r="Q51" s="421">
        <f>Table148[[#This Row],[Red target]]+Table148[[#This Row],[Red target]]*0.5</f>
        <v>0.56611049999999996</v>
      </c>
      <c r="R51" s="421">
        <f>Table148[[#This Row],[Data reference value]]+Table148[[#This Row],[Data reference value]]*Table148[[#This Row],[Ambitious target improvement rate 2050]]</f>
        <v>0.29535999999999996</v>
      </c>
      <c r="S51" s="421">
        <v>-0.2</v>
      </c>
      <c r="T51" s="421">
        <f>(Table148[[#This Row],[Ambitious target 2050]]-Table148[[#This Row],[Model reference value]])*0.5+Table148[[#This Row],[Model reference value]]</f>
        <v>0.33638349999999995</v>
      </c>
      <c r="U51" s="421">
        <f>(Table148[[#This Row],[Ambitious target 2050]]-Table148[[#This Row],[Model reference value]])*0.25+Table148[[#This Row],[Model reference value]]</f>
        <v>0.35689525</v>
      </c>
      <c r="V51" s="421">
        <f>Table148[[#This Row],[Data reference value]]+Table148[[#This Row],[Data reference value]]*Table148[[#This Row],[Ambitious target improvement rate 2100]]</f>
        <v>0.25844</v>
      </c>
      <c r="W51" s="421">
        <v>-0.3</v>
      </c>
      <c r="X51" s="421">
        <f>(Table148[[#This Row],[Ambitious target 2100]]-Table148[[#This Row],[Model reference value]])*0.5+Table148[[#This Row],[Model reference value]]</f>
        <v>0.31792350000000003</v>
      </c>
      <c r="Y51" s="421">
        <f>(Table148[[#This Row],[Ambitious target 2100]]-Table148[[#This Row],[Model reference value]])*0.25+Table148[[#This Row],[Model reference value]]</f>
        <v>0.34766524999999998</v>
      </c>
      <c r="Z51" s="421">
        <f>Table148[[#This Row],[Model reference value]]</f>
        <v>0.37740699999999999</v>
      </c>
      <c r="AA51" s="421" t="s">
        <v>1140</v>
      </c>
      <c r="AB51" s="421"/>
      <c r="AC51" s="419" t="s">
        <v>869</v>
      </c>
      <c r="AD51" s="360"/>
      <c r="AE51" s="360"/>
      <c r="AF51" s="360"/>
      <c r="AG51" s="360"/>
      <c r="AH51" s="360"/>
      <c r="AI51" s="360"/>
    </row>
    <row r="52" spans="1:35" hidden="1" x14ac:dyDescent="0.25">
      <c r="A52" s="390"/>
      <c r="B52" s="369"/>
      <c r="C52" s="369"/>
      <c r="D52" s="432" t="s">
        <v>1070</v>
      </c>
      <c r="E52" s="379"/>
      <c r="F52" s="380"/>
      <c r="G52" s="381">
        <v>93.66</v>
      </c>
      <c r="H52" s="421"/>
      <c r="I52" s="375"/>
      <c r="J52" s="375"/>
      <c r="K52" s="375"/>
      <c r="L52" s="375">
        <f>Table148[[#This Row],[Ambitious target 2030]]+Table148[[#This Row],[Ambitious target 2030]]*0.5</f>
        <v>0</v>
      </c>
      <c r="M52" s="375"/>
      <c r="N52" s="375"/>
      <c r="O52" s="375"/>
      <c r="P52" s="375"/>
      <c r="Q52" s="375">
        <f>Table148[[#This Row],[Red target]]-Table148[[#This Row],[Red target]]*0.5</f>
        <v>0</v>
      </c>
      <c r="R52" s="375"/>
      <c r="S52" s="375"/>
      <c r="T52" s="375"/>
      <c r="U52" s="375"/>
      <c r="V52" s="375"/>
      <c r="W52" s="375"/>
      <c r="X52" s="375"/>
      <c r="Y52" s="375"/>
      <c r="Z52" s="375"/>
      <c r="AA52" s="375"/>
      <c r="AB52" s="375"/>
      <c r="AC52" s="396"/>
      <c r="AD52" s="360"/>
      <c r="AE52" s="360"/>
      <c r="AF52" s="360"/>
      <c r="AG52" s="360"/>
      <c r="AH52" s="360"/>
      <c r="AI52" s="360"/>
    </row>
    <row r="53" spans="1:35" hidden="1" x14ac:dyDescent="0.25">
      <c r="A53" s="390"/>
      <c r="B53" s="369"/>
      <c r="C53" s="369"/>
      <c r="D53" s="432" t="s">
        <v>1071</v>
      </c>
      <c r="E53" s="379"/>
      <c r="F53" s="380"/>
      <c r="G53" s="381">
        <v>82.67</v>
      </c>
      <c r="H53" s="421"/>
      <c r="I53" s="375"/>
      <c r="J53" s="375"/>
      <c r="K53" s="375"/>
      <c r="L53" s="375">
        <f>Table148[[#This Row],[Ambitious target 2030]]+Table148[[#This Row],[Ambitious target 2030]]*0.5</f>
        <v>0</v>
      </c>
      <c r="M53" s="375"/>
      <c r="N53" s="375"/>
      <c r="O53" s="375"/>
      <c r="P53" s="375"/>
      <c r="Q53" s="375">
        <f>Table148[[#This Row],[Red target]]-Table148[[#This Row],[Red target]]*0.5</f>
        <v>0</v>
      </c>
      <c r="R53" s="375"/>
      <c r="S53" s="375"/>
      <c r="T53" s="375"/>
      <c r="U53" s="375"/>
      <c r="V53" s="375"/>
      <c r="W53" s="375"/>
      <c r="X53" s="375"/>
      <c r="Y53" s="375"/>
      <c r="Z53" s="375"/>
      <c r="AA53" s="375"/>
      <c r="AB53" s="375"/>
      <c r="AC53" s="396"/>
      <c r="AD53" s="360"/>
      <c r="AE53" s="360"/>
      <c r="AF53" s="360"/>
      <c r="AG53" s="360"/>
      <c r="AH53" s="360"/>
      <c r="AI53" s="360"/>
    </row>
    <row r="54" spans="1:35" hidden="1" x14ac:dyDescent="0.25">
      <c r="A54" s="390"/>
      <c r="B54" s="369"/>
      <c r="C54" s="369"/>
      <c r="D54" s="432" t="s">
        <v>1072</v>
      </c>
      <c r="E54" s="379"/>
      <c r="F54" s="380"/>
      <c r="G54" s="381">
        <v>80.760000000000005</v>
      </c>
      <c r="H54" s="421"/>
      <c r="I54" s="375"/>
      <c r="J54" s="375"/>
      <c r="K54" s="375"/>
      <c r="L54" s="375">
        <f>Table148[[#This Row],[Ambitious target 2030]]+Table148[[#This Row],[Ambitious target 2030]]*0.5</f>
        <v>0</v>
      </c>
      <c r="M54" s="375"/>
      <c r="N54" s="375"/>
      <c r="O54" s="375"/>
      <c r="P54" s="375"/>
      <c r="Q54" s="375">
        <f>Table148[[#This Row],[Red target]]-Table148[[#This Row],[Red target]]*0.5</f>
        <v>0</v>
      </c>
      <c r="R54" s="375"/>
      <c r="S54" s="375"/>
      <c r="T54" s="375"/>
      <c r="U54" s="375"/>
      <c r="V54" s="375"/>
      <c r="W54" s="375"/>
      <c r="X54" s="375"/>
      <c r="Y54" s="375"/>
      <c r="Z54" s="375"/>
      <c r="AA54" s="375"/>
      <c r="AB54" s="375"/>
      <c r="AC54" s="396"/>
      <c r="AD54" s="360"/>
      <c r="AE54" s="360"/>
      <c r="AF54" s="360"/>
      <c r="AG54" s="360"/>
      <c r="AH54" s="360"/>
      <c r="AI54" s="360"/>
    </row>
    <row r="55" spans="1:35" hidden="1" x14ac:dyDescent="0.25">
      <c r="A55" s="390"/>
      <c r="B55" s="369"/>
      <c r="C55" s="369"/>
      <c r="D55" s="432" t="s">
        <v>677</v>
      </c>
      <c r="E55" s="379"/>
      <c r="F55" s="380"/>
      <c r="G55" s="381">
        <v>80.38</v>
      </c>
      <c r="H55" s="421"/>
      <c r="I55" s="375"/>
      <c r="J55" s="375"/>
      <c r="K55" s="375"/>
      <c r="L55" s="375">
        <f>Table148[[#This Row],[Ambitious target 2030]]+Table148[[#This Row],[Ambitious target 2030]]*0.5</f>
        <v>0</v>
      </c>
      <c r="M55" s="375"/>
      <c r="N55" s="375"/>
      <c r="O55" s="375"/>
      <c r="P55" s="375"/>
      <c r="Q55" s="375">
        <f>Table148[[#This Row],[Red target]]-Table148[[#This Row],[Red target]]*0.5</f>
        <v>0</v>
      </c>
      <c r="R55" s="375"/>
      <c r="S55" s="375"/>
      <c r="T55" s="375"/>
      <c r="U55" s="375"/>
      <c r="V55" s="375"/>
      <c r="W55" s="375"/>
      <c r="X55" s="375"/>
      <c r="Y55" s="375"/>
      <c r="Z55" s="375"/>
      <c r="AA55" s="375"/>
      <c r="AB55" s="375"/>
      <c r="AC55" s="396"/>
      <c r="AD55" s="360"/>
      <c r="AE55" s="360"/>
      <c r="AF55" s="360"/>
      <c r="AG55" s="360"/>
      <c r="AH55" s="360"/>
      <c r="AI55" s="360"/>
    </row>
    <row r="56" spans="1:35" hidden="1" x14ac:dyDescent="0.25">
      <c r="A56" s="390"/>
      <c r="B56" s="369"/>
      <c r="C56" s="369"/>
      <c r="D56" s="432" t="s">
        <v>1073</v>
      </c>
      <c r="E56" s="379"/>
      <c r="F56" s="380"/>
      <c r="G56" s="381">
        <v>79.64</v>
      </c>
      <c r="H56" s="421"/>
      <c r="I56" s="375"/>
      <c r="J56" s="375"/>
      <c r="K56" s="375"/>
      <c r="L56" s="375">
        <f>Table148[[#This Row],[Ambitious target 2030]]+Table148[[#This Row],[Ambitious target 2030]]*0.5</f>
        <v>0</v>
      </c>
      <c r="M56" s="375"/>
      <c r="N56" s="375"/>
      <c r="O56" s="375"/>
      <c r="P56" s="375"/>
      <c r="Q56" s="375">
        <f>Table148[[#This Row],[Red target]]-Table148[[#This Row],[Red target]]*0.5</f>
        <v>0</v>
      </c>
      <c r="R56" s="375"/>
      <c r="S56" s="375"/>
      <c r="T56" s="375"/>
      <c r="U56" s="375"/>
      <c r="V56" s="375"/>
      <c r="W56" s="375"/>
      <c r="X56" s="375"/>
      <c r="Y56" s="375"/>
      <c r="Z56" s="375"/>
      <c r="AA56" s="375"/>
      <c r="AB56" s="375"/>
      <c r="AC56" s="396"/>
      <c r="AD56" s="360"/>
      <c r="AE56" s="360"/>
      <c r="AF56" s="360"/>
      <c r="AG56" s="360"/>
      <c r="AH56" s="360"/>
      <c r="AI56" s="360"/>
    </row>
    <row r="57" spans="1:35" hidden="1" x14ac:dyDescent="0.25">
      <c r="A57" s="390"/>
      <c r="B57" s="369"/>
      <c r="C57" s="369"/>
      <c r="D57" s="432" t="s">
        <v>1074</v>
      </c>
      <c r="E57" s="382"/>
      <c r="F57" s="383"/>
      <c r="G57" s="384">
        <v>0.39</v>
      </c>
      <c r="H57" s="421"/>
      <c r="I57" s="375"/>
      <c r="J57" s="375"/>
      <c r="K57" s="375"/>
      <c r="L57" s="375">
        <f>Table148[[#This Row],[Ambitious target 2030]]+Table148[[#This Row],[Ambitious target 2030]]*0.5</f>
        <v>0</v>
      </c>
      <c r="M57" s="375"/>
      <c r="N57" s="375"/>
      <c r="O57" s="375"/>
      <c r="P57" s="375"/>
      <c r="Q57" s="375">
        <f>Table148[[#This Row],[Red target]]-Table148[[#This Row],[Red target]]*0.5</f>
        <v>0</v>
      </c>
      <c r="R57" s="375"/>
      <c r="S57" s="375"/>
      <c r="T57" s="375"/>
      <c r="U57" s="375"/>
      <c r="V57" s="375"/>
      <c r="W57" s="375"/>
      <c r="X57" s="375"/>
      <c r="Y57" s="375"/>
      <c r="Z57" s="375"/>
      <c r="AA57" s="375"/>
      <c r="AB57" s="375"/>
      <c r="AC57" s="396"/>
      <c r="AD57" s="360"/>
      <c r="AE57" s="360"/>
      <c r="AF57" s="360"/>
      <c r="AG57" s="360"/>
      <c r="AH57" s="360"/>
      <c r="AI57" s="360"/>
    </row>
    <row r="58" spans="1:35" hidden="1" x14ac:dyDescent="0.25">
      <c r="A58" s="390"/>
      <c r="B58" s="369"/>
      <c r="C58" s="369"/>
      <c r="D58" s="432" t="s">
        <v>1075</v>
      </c>
      <c r="E58" s="382"/>
      <c r="F58" s="383"/>
      <c r="G58" s="384">
        <v>0.56000000000000005</v>
      </c>
      <c r="H58" s="421"/>
      <c r="I58" s="375"/>
      <c r="J58" s="375"/>
      <c r="K58" s="375"/>
      <c r="L58" s="375">
        <f>Table148[[#This Row],[Ambitious target 2030]]+Table148[[#This Row],[Ambitious target 2030]]*0.5</f>
        <v>0</v>
      </c>
      <c r="M58" s="375"/>
      <c r="N58" s="375"/>
      <c r="O58" s="375"/>
      <c r="P58" s="375"/>
      <c r="Q58" s="375">
        <f>Table148[[#This Row],[Red target]]-Table148[[#This Row],[Red target]]*0.5</f>
        <v>0</v>
      </c>
      <c r="R58" s="375"/>
      <c r="S58" s="375"/>
      <c r="T58" s="375"/>
      <c r="U58" s="375"/>
      <c r="V58" s="375"/>
      <c r="W58" s="375"/>
      <c r="X58" s="375"/>
      <c r="Y58" s="375"/>
      <c r="Z58" s="375"/>
      <c r="AA58" s="375"/>
      <c r="AB58" s="375"/>
      <c r="AC58" s="396"/>
      <c r="AD58" s="360"/>
      <c r="AE58" s="360"/>
      <c r="AF58" s="360"/>
      <c r="AG58" s="360"/>
      <c r="AH58" s="360"/>
      <c r="AI58" s="360"/>
    </row>
    <row r="59" spans="1:35" hidden="1" x14ac:dyDescent="0.25">
      <c r="A59" s="390"/>
      <c r="B59" s="369"/>
      <c r="C59" s="369"/>
      <c r="D59" s="432" t="s">
        <v>1076</v>
      </c>
      <c r="E59" s="382"/>
      <c r="F59" s="383"/>
      <c r="G59" s="384">
        <v>0.59</v>
      </c>
      <c r="H59" s="421"/>
      <c r="I59" s="375"/>
      <c r="J59" s="375"/>
      <c r="K59" s="375"/>
      <c r="L59" s="375">
        <f>Table148[[#This Row],[Ambitious target 2030]]+Table148[[#This Row],[Ambitious target 2030]]*0.5</f>
        <v>0</v>
      </c>
      <c r="M59" s="375"/>
      <c r="N59" s="375"/>
      <c r="O59" s="375"/>
      <c r="P59" s="375"/>
      <c r="Q59" s="375">
        <f>Table148[[#This Row],[Red target]]-Table148[[#This Row],[Red target]]*0.5</f>
        <v>0</v>
      </c>
      <c r="R59" s="375"/>
      <c r="S59" s="375"/>
      <c r="T59" s="375"/>
      <c r="U59" s="375"/>
      <c r="V59" s="375"/>
      <c r="W59" s="375"/>
      <c r="X59" s="375"/>
      <c r="Y59" s="375"/>
      <c r="Z59" s="375"/>
      <c r="AA59" s="375"/>
      <c r="AB59" s="375"/>
      <c r="AC59" s="396"/>
      <c r="AD59" s="360"/>
      <c r="AE59" s="360"/>
      <c r="AF59" s="360"/>
      <c r="AG59" s="360"/>
      <c r="AH59" s="360"/>
      <c r="AI59" s="360"/>
    </row>
    <row r="60" spans="1:35" hidden="1" x14ac:dyDescent="0.25">
      <c r="A60" s="390"/>
      <c r="B60" s="369"/>
      <c r="C60" s="369"/>
      <c r="D60" s="432" t="s">
        <v>702</v>
      </c>
      <c r="E60" s="382"/>
      <c r="F60" s="383"/>
      <c r="G60" s="384">
        <v>0.93</v>
      </c>
      <c r="H60" s="421"/>
      <c r="I60" s="375"/>
      <c r="J60" s="375"/>
      <c r="K60" s="375"/>
      <c r="L60" s="375">
        <f>Table148[[#This Row],[Ambitious target 2030]]+Table148[[#This Row],[Ambitious target 2030]]*0.5</f>
        <v>0</v>
      </c>
      <c r="M60" s="375"/>
      <c r="N60" s="375"/>
      <c r="O60" s="375"/>
      <c r="P60" s="375"/>
      <c r="Q60" s="375">
        <f>Table148[[#This Row],[Red target]]-Table148[[#This Row],[Red target]]*0.5</f>
        <v>0</v>
      </c>
      <c r="R60" s="375"/>
      <c r="S60" s="375"/>
      <c r="T60" s="375"/>
      <c r="U60" s="375"/>
      <c r="V60" s="375"/>
      <c r="W60" s="375"/>
      <c r="X60" s="375"/>
      <c r="Y60" s="375"/>
      <c r="Z60" s="375"/>
      <c r="AA60" s="375"/>
      <c r="AB60" s="375"/>
      <c r="AC60" s="396"/>
      <c r="AD60" s="360"/>
      <c r="AE60" s="360"/>
      <c r="AF60" s="360"/>
      <c r="AG60" s="360"/>
      <c r="AH60" s="360"/>
      <c r="AI60" s="360"/>
    </row>
    <row r="61" spans="1:35" hidden="1" x14ac:dyDescent="0.25">
      <c r="A61" s="390"/>
      <c r="B61" s="369"/>
      <c r="C61" s="369"/>
      <c r="D61" s="432" t="s">
        <v>1077</v>
      </c>
      <c r="E61" s="382"/>
      <c r="F61" s="383"/>
      <c r="G61" s="384">
        <v>1.05</v>
      </c>
      <c r="H61" s="421"/>
      <c r="I61" s="375"/>
      <c r="J61" s="375"/>
      <c r="K61" s="375"/>
      <c r="L61" s="375">
        <f>Table148[[#This Row],[Ambitious target 2030]]+Table148[[#This Row],[Ambitious target 2030]]*0.5</f>
        <v>0</v>
      </c>
      <c r="M61" s="375"/>
      <c r="N61" s="375"/>
      <c r="O61" s="375"/>
      <c r="P61" s="375"/>
      <c r="Q61" s="375">
        <f>Table148[[#This Row],[Red target]]-Table148[[#This Row],[Red target]]*0.5</f>
        <v>0</v>
      </c>
      <c r="R61" s="375"/>
      <c r="S61" s="375"/>
      <c r="T61" s="375"/>
      <c r="U61" s="375"/>
      <c r="V61" s="375"/>
      <c r="W61" s="375"/>
      <c r="X61" s="375"/>
      <c r="Y61" s="375"/>
      <c r="Z61" s="375"/>
      <c r="AA61" s="375"/>
      <c r="AB61" s="375"/>
      <c r="AC61" s="396"/>
      <c r="AD61" s="360"/>
      <c r="AE61" s="360"/>
      <c r="AF61" s="360"/>
      <c r="AG61" s="360"/>
      <c r="AH61" s="360"/>
      <c r="AI61" s="360"/>
    </row>
    <row r="62" spans="1:35" s="387" customFormat="1" hidden="1" x14ac:dyDescent="0.25">
      <c r="A62" s="410"/>
      <c r="B62" s="415"/>
      <c r="C62" s="415"/>
      <c r="D62" s="415"/>
      <c r="E62" s="417">
        <v>2005</v>
      </c>
      <c r="F62" s="417">
        <v>2010</v>
      </c>
      <c r="G62" s="417">
        <v>2020</v>
      </c>
      <c r="H62" s="417"/>
      <c r="I62" s="417"/>
      <c r="J62" s="417"/>
      <c r="K62" s="417"/>
      <c r="L62" s="417">
        <f>Table148[[#This Row],[Ambitious target 2030]]+Table148[[#This Row],[Ambitious target 2030]]*0.5</f>
        <v>0</v>
      </c>
      <c r="M62" s="417"/>
      <c r="N62" s="417"/>
      <c r="O62" s="417"/>
      <c r="P62" s="417"/>
      <c r="Q62" s="417">
        <f>Table148[[#This Row],[Red target]]-Table148[[#This Row],[Red target]]*0.5</f>
        <v>0</v>
      </c>
      <c r="R62" s="417"/>
      <c r="S62" s="417"/>
      <c r="T62" s="417"/>
      <c r="U62" s="417"/>
      <c r="V62" s="417"/>
      <c r="W62" s="417"/>
      <c r="X62" s="417"/>
      <c r="Y62" s="417"/>
      <c r="Z62" s="417"/>
      <c r="AA62" s="417"/>
      <c r="AB62" s="417"/>
      <c r="AC62" s="412"/>
    </row>
    <row r="63" spans="1:35" s="362" customFormat="1" x14ac:dyDescent="0.25">
      <c r="A63" s="422" t="s">
        <v>967</v>
      </c>
      <c r="B63" s="436" t="s">
        <v>29</v>
      </c>
      <c r="C63" s="436" t="s">
        <v>965</v>
      </c>
      <c r="D63" s="436" t="s">
        <v>1083</v>
      </c>
      <c r="E63" s="420">
        <v>3425.59</v>
      </c>
      <c r="F63" s="420">
        <v>3417.4110000000001</v>
      </c>
      <c r="G63" s="420">
        <v>3419.1779999999999</v>
      </c>
      <c r="H63" s="421">
        <v>2020</v>
      </c>
      <c r="I63" s="421">
        <v>3419.1779999999999</v>
      </c>
      <c r="J63" s="421">
        <v>2015</v>
      </c>
      <c r="K63" s="411">
        <v>3355.47</v>
      </c>
      <c r="L63" s="411">
        <f>Table148[[#This Row],[Ambitious target 2030]]+Table148[[#This Row],[Ambitious target 2030]]*0.5</f>
        <v>4615.8902999999991</v>
      </c>
      <c r="M63" s="421">
        <f>Table148[[#This Row],[Data reference value]]+Table148[[#This Row],[Data reference value]]*Table148[[#This Row],[Ambitious target improvement rate 2030]]</f>
        <v>3077.2601999999997</v>
      </c>
      <c r="N63" s="421">
        <v>-0.1</v>
      </c>
      <c r="O63" s="421">
        <f>(Table148[[#This Row],[Ambitious target 2030]]-Table148[[#This Row],[Model reference value]])*0.5+Table148[[#This Row],[Model reference value]]</f>
        <v>3216.3651</v>
      </c>
      <c r="P63" s="421">
        <f>(Table148[[#This Row],[Ambitious target 2030]]-Table148[[#This Row],[Model reference value]])*0.25+Table148[[#This Row],[Model reference value]]</f>
        <v>3285.9175499999997</v>
      </c>
      <c r="Q63" s="421">
        <f>Table148[[#This Row],[Red target]]-Table148[[#This Row],[Red target]]*0.5</f>
        <v>1677.7349999999999</v>
      </c>
      <c r="R63" s="421">
        <f>Table148[[#This Row],[Data reference value]]+Table148[[#This Row],[Data reference value]]*Table148[[#This Row],[Ambitious target improvement rate 2050]]</f>
        <v>2735.3424</v>
      </c>
      <c r="S63" s="421">
        <v>-0.2</v>
      </c>
      <c r="T63" s="421">
        <f>(Table148[[#This Row],[Ambitious target 2050]]-Table148[[#This Row],[Model reference value]])*0.5+Table148[[#This Row],[Model reference value]]</f>
        <v>3045.4061999999999</v>
      </c>
      <c r="U63" s="421">
        <f>(Table148[[#This Row],[Ambitious target 2050]]-Table148[[#This Row],[Model reference value]])*0.25+Table148[[#This Row],[Model reference value]]</f>
        <v>3200.4380999999998</v>
      </c>
      <c r="V63" s="421">
        <f>Table148[[#This Row],[Data reference value]]+Table148[[#This Row],[Data reference value]]*Table148[[#This Row],[Ambitious target improvement rate 2100]]</f>
        <v>2393.4246000000003</v>
      </c>
      <c r="W63" s="421">
        <v>-0.3</v>
      </c>
      <c r="X63" s="421">
        <f>(Table148[[#This Row],[Ambitious target 2100]]-Table148[[#This Row],[Model reference value]])*0.5+Table148[[#This Row],[Model reference value]]</f>
        <v>2874.4472999999998</v>
      </c>
      <c r="Y63" s="421">
        <f>(Table148[[#This Row],[Ambitious target 2100]]-Table148[[#This Row],[Model reference value]])*0.25+Table148[[#This Row],[Model reference value]]</f>
        <v>3114.95865</v>
      </c>
      <c r="Z63" s="421">
        <f>Table148[[#This Row],[Model reference value]]</f>
        <v>3355.47</v>
      </c>
      <c r="AA63" s="421" t="s">
        <v>1140</v>
      </c>
      <c r="AB63" s="421" t="s">
        <v>1120</v>
      </c>
      <c r="AC63" s="419" t="s">
        <v>979</v>
      </c>
    </row>
    <row r="64" spans="1:35" s="362" customFormat="1" hidden="1" x14ac:dyDescent="0.25">
      <c r="A64" s="389"/>
      <c r="B64" s="372"/>
      <c r="C64" s="372"/>
      <c r="D64" s="372"/>
      <c r="E64" s="379"/>
      <c r="F64" s="380"/>
      <c r="G64" s="381"/>
      <c r="H64" s="421"/>
      <c r="I64" s="375"/>
      <c r="J64" s="375"/>
      <c r="K64" s="375"/>
      <c r="L64" s="375">
        <f>Table148[[#This Row],[Ambitious target 2030]]+Table148[[#This Row],[Ambitious target 2030]]*0.5</f>
        <v>0</v>
      </c>
      <c r="M64" s="375"/>
      <c r="N64" s="375"/>
      <c r="O64" s="375"/>
      <c r="P64" s="375"/>
      <c r="Q64" s="375">
        <f>Table148[[#This Row],[Red target]]-Table148[[#This Row],[Red target]]*0.5</f>
        <v>0</v>
      </c>
      <c r="R64" s="375"/>
      <c r="S64" s="375"/>
      <c r="T64" s="375"/>
      <c r="U64" s="375"/>
      <c r="V64" s="375"/>
      <c r="W64" s="375"/>
      <c r="X64" s="375"/>
      <c r="Y64" s="375"/>
      <c r="Z64" s="375"/>
      <c r="AA64" s="375"/>
      <c r="AB64" s="375"/>
      <c r="AC64" s="399"/>
    </row>
    <row r="65" spans="1:29" s="362" customFormat="1" hidden="1" x14ac:dyDescent="0.25">
      <c r="A65" s="389"/>
      <c r="B65" s="372"/>
      <c r="C65" s="372"/>
      <c r="D65" s="372"/>
      <c r="E65" s="379"/>
      <c r="F65" s="380"/>
      <c r="G65" s="381"/>
      <c r="H65" s="421"/>
      <c r="I65" s="375"/>
      <c r="J65" s="375"/>
      <c r="K65" s="375"/>
      <c r="L65" s="375">
        <f>Table148[[#This Row],[Ambitious target 2030]]+Table148[[#This Row],[Ambitious target 2030]]*0.5</f>
        <v>0</v>
      </c>
      <c r="M65" s="375"/>
      <c r="N65" s="375"/>
      <c r="O65" s="375"/>
      <c r="P65" s="375"/>
      <c r="Q65" s="375">
        <f>Table148[[#This Row],[Red target]]-Table148[[#This Row],[Red target]]*0.5</f>
        <v>0</v>
      </c>
      <c r="R65" s="375"/>
      <c r="S65" s="375"/>
      <c r="T65" s="375"/>
      <c r="U65" s="375"/>
      <c r="V65" s="375"/>
      <c r="W65" s="375"/>
      <c r="X65" s="375"/>
      <c r="Y65" s="375"/>
      <c r="Z65" s="375"/>
      <c r="AA65" s="375"/>
      <c r="AB65" s="375"/>
      <c r="AC65" s="399"/>
    </row>
    <row r="66" spans="1:29" s="362" customFormat="1" hidden="1" x14ac:dyDescent="0.25">
      <c r="A66" s="389"/>
      <c r="B66" s="372"/>
      <c r="C66" s="372"/>
      <c r="D66" s="372"/>
      <c r="E66" s="379"/>
      <c r="F66" s="380"/>
      <c r="G66" s="381"/>
      <c r="H66" s="421"/>
      <c r="I66" s="375"/>
      <c r="J66" s="375"/>
      <c r="K66" s="375"/>
      <c r="L66" s="375">
        <f>Table148[[#This Row],[Ambitious target 2030]]+Table148[[#This Row],[Ambitious target 2030]]*0.5</f>
        <v>0</v>
      </c>
      <c r="M66" s="375"/>
      <c r="N66" s="375"/>
      <c r="O66" s="375"/>
      <c r="P66" s="375"/>
      <c r="Q66" s="375">
        <f>Table148[[#This Row],[Red target]]-Table148[[#This Row],[Red target]]*0.5</f>
        <v>0</v>
      </c>
      <c r="R66" s="375"/>
      <c r="S66" s="375"/>
      <c r="T66" s="375"/>
      <c r="U66" s="375"/>
      <c r="V66" s="375"/>
      <c r="W66" s="375"/>
      <c r="X66" s="375"/>
      <c r="Y66" s="375"/>
      <c r="Z66" s="375"/>
      <c r="AA66" s="375"/>
      <c r="AB66" s="375"/>
      <c r="AC66" s="399"/>
    </row>
    <row r="67" spans="1:29" s="362" customFormat="1" hidden="1" x14ac:dyDescent="0.25">
      <c r="A67" s="389"/>
      <c r="B67" s="372"/>
      <c r="C67" s="372"/>
      <c r="D67" s="372"/>
      <c r="E67" s="379"/>
      <c r="F67" s="380"/>
      <c r="G67" s="381"/>
      <c r="H67" s="421"/>
      <c r="I67" s="375"/>
      <c r="J67" s="375"/>
      <c r="K67" s="375"/>
      <c r="L67" s="431">
        <f>Table148[[#This Row],[Ambitious target 2030]]+Table148[[#This Row],[Ambitious target 2030]]*0.5</f>
        <v>0</v>
      </c>
      <c r="M67" s="375"/>
      <c r="N67" s="375"/>
      <c r="O67" s="431"/>
      <c r="P67" s="431"/>
      <c r="Q67" s="431">
        <f>Table148[[#This Row],[Red target]]-Table148[[#This Row],[Red target]]*0.5</f>
        <v>0</v>
      </c>
      <c r="R67" s="431"/>
      <c r="S67" s="431"/>
      <c r="T67" s="431"/>
      <c r="U67" s="431"/>
      <c r="V67" s="431"/>
      <c r="W67" s="431"/>
      <c r="X67" s="431"/>
      <c r="Y67" s="431"/>
      <c r="Z67" s="431"/>
      <c r="AA67" s="375"/>
      <c r="AB67" s="375"/>
      <c r="AC67" s="399"/>
    </row>
    <row r="68" spans="1:29" s="362" customFormat="1" hidden="1" x14ac:dyDescent="0.25">
      <c r="A68" s="389"/>
      <c r="B68" s="372"/>
      <c r="C68" s="372"/>
      <c r="D68" s="372"/>
      <c r="E68" s="379"/>
      <c r="F68" s="380"/>
      <c r="G68" s="381"/>
      <c r="H68" s="421"/>
      <c r="I68" s="375"/>
      <c r="J68" s="375"/>
      <c r="K68" s="375"/>
      <c r="L68" s="431">
        <f>Table148[[#This Row],[Ambitious target 2030]]+Table148[[#This Row],[Ambitious target 2030]]*0.5</f>
        <v>0</v>
      </c>
      <c r="M68" s="375"/>
      <c r="N68" s="375"/>
      <c r="O68" s="431"/>
      <c r="P68" s="431"/>
      <c r="Q68" s="431">
        <f>Table148[[#This Row],[Red target]]-Table148[[#This Row],[Red target]]*0.5</f>
        <v>0</v>
      </c>
      <c r="R68" s="431"/>
      <c r="S68" s="431"/>
      <c r="T68" s="431"/>
      <c r="U68" s="431"/>
      <c r="V68" s="431"/>
      <c r="W68" s="431"/>
      <c r="X68" s="431"/>
      <c r="Y68" s="431"/>
      <c r="Z68" s="431"/>
      <c r="AA68" s="375"/>
      <c r="AB68" s="375"/>
      <c r="AC68" s="399"/>
    </row>
    <row r="69" spans="1:29" s="362" customFormat="1" hidden="1" x14ac:dyDescent="0.25">
      <c r="A69" s="389"/>
      <c r="B69" s="372"/>
      <c r="C69" s="372"/>
      <c r="D69" s="372"/>
      <c r="E69" s="382"/>
      <c r="F69" s="383"/>
      <c r="G69" s="384"/>
      <c r="H69" s="421"/>
      <c r="I69" s="375"/>
      <c r="J69" s="375"/>
      <c r="K69" s="375"/>
      <c r="L69" s="375">
        <f>Table148[[#This Row],[Ambitious target 2030]]+Table148[[#This Row],[Ambitious target 2030]]*0.5</f>
        <v>0</v>
      </c>
      <c r="M69" s="375"/>
      <c r="N69" s="375"/>
      <c r="O69" s="375"/>
      <c r="P69" s="375"/>
      <c r="Q69" s="375">
        <f>Table148[[#This Row],[Red target]]-Table148[[#This Row],[Red target]]*0.5</f>
        <v>0</v>
      </c>
      <c r="R69" s="375"/>
      <c r="S69" s="375"/>
      <c r="T69" s="375"/>
      <c r="U69" s="375"/>
      <c r="V69" s="375"/>
      <c r="W69" s="375"/>
      <c r="X69" s="375"/>
      <c r="Y69" s="375"/>
      <c r="Z69" s="375"/>
      <c r="AA69" s="375"/>
      <c r="AB69" s="375"/>
      <c r="AC69" s="399"/>
    </row>
    <row r="70" spans="1:29" s="362" customFormat="1" hidden="1" x14ac:dyDescent="0.25">
      <c r="A70" s="389"/>
      <c r="B70" s="372"/>
      <c r="C70" s="372"/>
      <c r="D70" s="372"/>
      <c r="E70" s="382"/>
      <c r="F70" s="383"/>
      <c r="G70" s="384"/>
      <c r="H70" s="421"/>
      <c r="I70" s="375"/>
      <c r="J70" s="375"/>
      <c r="K70" s="375"/>
      <c r="L70" s="375">
        <f>Table148[[#This Row],[Ambitious target 2030]]+Table148[[#This Row],[Ambitious target 2030]]*0.5</f>
        <v>0</v>
      </c>
      <c r="M70" s="375"/>
      <c r="N70" s="375"/>
      <c r="O70" s="375"/>
      <c r="P70" s="375"/>
      <c r="Q70" s="375">
        <f>Table148[[#This Row],[Red target]]-Table148[[#This Row],[Red target]]*0.5</f>
        <v>0</v>
      </c>
      <c r="R70" s="375"/>
      <c r="S70" s="375"/>
      <c r="T70" s="375"/>
      <c r="U70" s="375"/>
      <c r="V70" s="375"/>
      <c r="W70" s="375"/>
      <c r="X70" s="375"/>
      <c r="Y70" s="375"/>
      <c r="Z70" s="375"/>
      <c r="AA70" s="375"/>
      <c r="AB70" s="375"/>
      <c r="AC70" s="399"/>
    </row>
    <row r="71" spans="1:29" s="362" customFormat="1" hidden="1" x14ac:dyDescent="0.25">
      <c r="A71" s="389"/>
      <c r="B71" s="372"/>
      <c r="C71" s="372"/>
      <c r="D71" s="372"/>
      <c r="E71" s="382"/>
      <c r="F71" s="383"/>
      <c r="G71" s="384"/>
      <c r="H71" s="421"/>
      <c r="I71" s="375"/>
      <c r="J71" s="375"/>
      <c r="K71" s="375"/>
      <c r="L71" s="431">
        <f>Table148[[#This Row],[Ambitious target 2030]]+Table148[[#This Row],[Ambitious target 2030]]*0.5</f>
        <v>0</v>
      </c>
      <c r="M71" s="375"/>
      <c r="N71" s="375"/>
      <c r="O71" s="431"/>
      <c r="P71" s="431"/>
      <c r="Q71" s="431">
        <f>Table148[[#This Row],[Red target]]-Table148[[#This Row],[Red target]]*0.5</f>
        <v>0</v>
      </c>
      <c r="R71" s="431"/>
      <c r="S71" s="431"/>
      <c r="T71" s="431"/>
      <c r="U71" s="431"/>
      <c r="V71" s="431"/>
      <c r="W71" s="431"/>
      <c r="X71" s="431"/>
      <c r="Y71" s="431"/>
      <c r="Z71" s="431"/>
      <c r="AA71" s="375"/>
      <c r="AB71" s="375"/>
      <c r="AC71" s="399"/>
    </row>
    <row r="72" spans="1:29" s="362" customFormat="1" hidden="1" x14ac:dyDescent="0.25">
      <c r="A72" s="389"/>
      <c r="B72" s="372"/>
      <c r="C72" s="372"/>
      <c r="D72" s="372"/>
      <c r="E72" s="382"/>
      <c r="F72" s="383"/>
      <c r="G72" s="384"/>
      <c r="H72" s="421"/>
      <c r="I72" s="375"/>
      <c r="J72" s="375"/>
      <c r="K72" s="375"/>
      <c r="L72" s="431">
        <f>Table148[[#This Row],[Ambitious target 2030]]+Table148[[#This Row],[Ambitious target 2030]]*0.5</f>
        <v>0</v>
      </c>
      <c r="M72" s="375"/>
      <c r="N72" s="375"/>
      <c r="O72" s="431"/>
      <c r="P72" s="431"/>
      <c r="Q72" s="431">
        <f>Table148[[#This Row],[Red target]]-Table148[[#This Row],[Red target]]*0.5</f>
        <v>0</v>
      </c>
      <c r="R72" s="431"/>
      <c r="S72" s="431"/>
      <c r="T72" s="431"/>
      <c r="U72" s="431"/>
      <c r="V72" s="431"/>
      <c r="W72" s="431"/>
      <c r="X72" s="431"/>
      <c r="Y72" s="431"/>
      <c r="Z72" s="431"/>
      <c r="AA72" s="375"/>
      <c r="AB72" s="375"/>
      <c r="AC72" s="399"/>
    </row>
    <row r="73" spans="1:29" s="362" customFormat="1" hidden="1" x14ac:dyDescent="0.25">
      <c r="A73" s="389"/>
      <c r="B73" s="372"/>
      <c r="C73" s="372"/>
      <c r="D73" s="372"/>
      <c r="E73" s="382"/>
      <c r="F73" s="383"/>
      <c r="G73" s="384"/>
      <c r="H73" s="421"/>
      <c r="I73" s="375"/>
      <c r="J73" s="375"/>
      <c r="K73" s="375"/>
      <c r="L73" s="431">
        <f>Table148[[#This Row],[Ambitious target 2030]]+Table148[[#This Row],[Ambitious target 2030]]*0.5</f>
        <v>0</v>
      </c>
      <c r="M73" s="375"/>
      <c r="N73" s="375"/>
      <c r="O73" s="431"/>
      <c r="P73" s="431"/>
      <c r="Q73" s="431">
        <f>Table148[[#This Row],[Red target]]-Table148[[#This Row],[Red target]]*0.5</f>
        <v>0</v>
      </c>
      <c r="R73" s="431"/>
      <c r="S73" s="431"/>
      <c r="T73" s="431"/>
      <c r="U73" s="431"/>
      <c r="V73" s="431"/>
      <c r="W73" s="431"/>
      <c r="X73" s="431"/>
      <c r="Y73" s="431"/>
      <c r="Z73" s="431"/>
      <c r="AA73" s="375"/>
      <c r="AB73" s="375"/>
      <c r="AC73" s="399"/>
    </row>
    <row r="74" spans="1:29" s="387" customFormat="1" hidden="1" x14ac:dyDescent="0.25">
      <c r="A74" s="410"/>
      <c r="B74" s="415"/>
      <c r="C74" s="415"/>
      <c r="D74" s="415"/>
      <c r="E74" s="417">
        <v>2005</v>
      </c>
      <c r="F74" s="417">
        <v>2010</v>
      </c>
      <c r="G74" s="417">
        <v>2020</v>
      </c>
      <c r="H74" s="417"/>
      <c r="I74" s="417"/>
      <c r="J74" s="417"/>
      <c r="K74" s="417"/>
      <c r="L74" s="417">
        <f>Table148[[#This Row],[Ambitious target 2030]]+Table148[[#This Row],[Ambitious target 2030]]*0.5</f>
        <v>0</v>
      </c>
      <c r="M74" s="417"/>
      <c r="N74" s="417"/>
      <c r="O74" s="417"/>
      <c r="P74" s="417"/>
      <c r="Q74" s="417">
        <f>Table148[[#This Row],[Red target]]-Table148[[#This Row],[Red target]]*0.5</f>
        <v>0</v>
      </c>
      <c r="R74" s="417"/>
      <c r="S74" s="417"/>
      <c r="T74" s="417"/>
      <c r="U74" s="417"/>
      <c r="V74" s="417"/>
      <c r="W74" s="417"/>
      <c r="X74" s="417"/>
      <c r="Y74" s="417"/>
      <c r="Z74" s="417"/>
      <c r="AA74" s="417"/>
      <c r="AB74" s="417"/>
      <c r="AC74" s="412"/>
    </row>
    <row r="75" spans="1:29" s="362" customFormat="1" x14ac:dyDescent="0.25">
      <c r="A75" s="418" t="s">
        <v>968</v>
      </c>
      <c r="B75" s="436" t="s">
        <v>27</v>
      </c>
      <c r="C75" s="437" t="s">
        <v>965</v>
      </c>
      <c r="D75" s="436" t="s">
        <v>1083</v>
      </c>
      <c r="E75" s="420">
        <v>1536.067</v>
      </c>
      <c r="F75" s="420">
        <v>1546.1590000000001</v>
      </c>
      <c r="G75" s="420">
        <v>1618.385</v>
      </c>
      <c r="H75" s="421">
        <v>2020</v>
      </c>
      <c r="I75" s="421">
        <v>1618.385</v>
      </c>
      <c r="J75" s="421">
        <v>2015</v>
      </c>
      <c r="K75" s="411">
        <v>1514.59</v>
      </c>
      <c r="L75" s="411">
        <f>Table148[[#This Row],[Ambitious target 2030]]+Table148[[#This Row],[Ambitious target 2030]]*0.5</f>
        <v>2184.8197499999997</v>
      </c>
      <c r="M75" s="421">
        <f>Table148[[#This Row],[Data reference value]]+Table148[[#This Row],[Data reference value]]*Table148[[#This Row],[Ambitious target improvement rate 2030]]</f>
        <v>1456.5464999999999</v>
      </c>
      <c r="N75" s="421">
        <v>-0.1</v>
      </c>
      <c r="O75" s="421">
        <f>(Table148[[#This Row],[Ambitious target 2030]]-Table148[[#This Row],[Model reference value]])*0.5+Table148[[#This Row],[Model reference value]]</f>
        <v>1485.5682499999998</v>
      </c>
      <c r="P75" s="421">
        <f>(Table148[[#This Row],[Ambitious target 2030]]-Table148[[#This Row],[Model reference value]])*0.25+Table148[[#This Row],[Model reference value]]</f>
        <v>1500.079125</v>
      </c>
      <c r="Q75" s="421">
        <f>Table148[[#This Row],[Red target]]-Table148[[#This Row],[Red target]]*0.5</f>
        <v>757.29499999999996</v>
      </c>
      <c r="R75" s="421">
        <f>Table148[[#This Row],[Data reference value]]+Table148[[#This Row],[Data reference value]]*Table148[[#This Row],[Ambitious target improvement rate 2050]]</f>
        <v>1294.7080000000001</v>
      </c>
      <c r="S75" s="421">
        <v>-0.2</v>
      </c>
      <c r="T75" s="421">
        <f>(Table148[[#This Row],[Ambitious target 2050]]-Table148[[#This Row],[Model reference value]])*0.5+Table148[[#This Row],[Model reference value]]</f>
        <v>1404.6489999999999</v>
      </c>
      <c r="U75" s="421">
        <f>(Table148[[#This Row],[Ambitious target 2050]]-Table148[[#This Row],[Model reference value]])*0.25+Table148[[#This Row],[Model reference value]]</f>
        <v>1459.6195</v>
      </c>
      <c r="V75" s="421">
        <f>Table148[[#This Row],[Data reference value]]+Table148[[#This Row],[Data reference value]]*Table148[[#This Row],[Ambitious target improvement rate 2100]]</f>
        <v>1132.8695</v>
      </c>
      <c r="W75" s="421">
        <v>-0.3</v>
      </c>
      <c r="X75" s="421">
        <f>(Table148[[#This Row],[Ambitious target 2100]]-Table148[[#This Row],[Model reference value]])*0.5+Table148[[#This Row],[Model reference value]]</f>
        <v>1323.72975</v>
      </c>
      <c r="Y75" s="421">
        <f>(Table148[[#This Row],[Ambitious target 2100]]-Table148[[#This Row],[Model reference value]])*0.25+Table148[[#This Row],[Model reference value]]</f>
        <v>1419.1598749999998</v>
      </c>
      <c r="Z75" s="421">
        <f>Table148[[#This Row],[Model reference value]]</f>
        <v>1514.59</v>
      </c>
      <c r="AA75" s="421" t="s">
        <v>1140</v>
      </c>
      <c r="AB75" s="421" t="s">
        <v>1120</v>
      </c>
      <c r="AC75" s="419" t="s">
        <v>979</v>
      </c>
    </row>
    <row r="76" spans="1:29" s="362" customFormat="1" hidden="1" x14ac:dyDescent="0.25">
      <c r="A76" s="389"/>
      <c r="B76" s="372"/>
      <c r="C76" s="372"/>
      <c r="D76" s="372"/>
      <c r="E76" s="379"/>
      <c r="F76" s="380"/>
      <c r="G76" s="381"/>
      <c r="H76" s="421"/>
      <c r="I76" s="375"/>
      <c r="J76" s="375"/>
      <c r="K76" s="375"/>
      <c r="L76" s="375">
        <f>Table148[[#This Row],[Ambitious target 2030]]+Table148[[#This Row],[Ambitious target 2030]]*0.5</f>
        <v>0</v>
      </c>
      <c r="M76" s="375"/>
      <c r="N76" s="375"/>
      <c r="O76" s="375"/>
      <c r="P76" s="375"/>
      <c r="Q76" s="375">
        <f>Table148[[#This Row],[Red target]]-Table148[[#This Row],[Red target]]*0.5</f>
        <v>0</v>
      </c>
      <c r="R76" s="375"/>
      <c r="S76" s="375"/>
      <c r="T76" s="375"/>
      <c r="U76" s="375"/>
      <c r="V76" s="375"/>
      <c r="W76" s="375"/>
      <c r="X76" s="375"/>
      <c r="Y76" s="375"/>
      <c r="Z76" s="375"/>
      <c r="AA76" s="375"/>
      <c r="AB76" s="375"/>
      <c r="AC76" s="399"/>
    </row>
    <row r="77" spans="1:29" s="362" customFormat="1" hidden="1" x14ac:dyDescent="0.25">
      <c r="A77" s="389"/>
      <c r="B77" s="372"/>
      <c r="C77" s="372"/>
      <c r="D77" s="372"/>
      <c r="E77" s="379"/>
      <c r="F77" s="380"/>
      <c r="G77" s="381"/>
      <c r="H77" s="421"/>
      <c r="I77" s="375"/>
      <c r="J77" s="375"/>
      <c r="K77" s="375"/>
      <c r="L77" s="375">
        <f>Table148[[#This Row],[Ambitious target 2030]]+Table148[[#This Row],[Ambitious target 2030]]*0.5</f>
        <v>0</v>
      </c>
      <c r="M77" s="375"/>
      <c r="N77" s="375"/>
      <c r="O77" s="375"/>
      <c r="P77" s="375"/>
      <c r="Q77" s="375">
        <f>Table148[[#This Row],[Red target]]-Table148[[#This Row],[Red target]]*0.5</f>
        <v>0</v>
      </c>
      <c r="R77" s="375"/>
      <c r="S77" s="375"/>
      <c r="T77" s="375"/>
      <c r="U77" s="375"/>
      <c r="V77" s="375"/>
      <c r="W77" s="375"/>
      <c r="X77" s="375"/>
      <c r="Y77" s="375"/>
      <c r="Z77" s="375"/>
      <c r="AA77" s="375"/>
      <c r="AB77" s="375"/>
      <c r="AC77" s="399"/>
    </row>
    <row r="78" spans="1:29" s="362" customFormat="1" hidden="1" x14ac:dyDescent="0.25">
      <c r="A78" s="389"/>
      <c r="B78" s="372"/>
      <c r="C78" s="372"/>
      <c r="D78" s="372"/>
      <c r="E78" s="379"/>
      <c r="F78" s="380"/>
      <c r="G78" s="381"/>
      <c r="H78" s="421"/>
      <c r="I78" s="375"/>
      <c r="J78" s="375"/>
      <c r="K78" s="375"/>
      <c r="L78" s="375">
        <f>Table148[[#This Row],[Ambitious target 2030]]+Table148[[#This Row],[Ambitious target 2030]]*0.5</f>
        <v>0</v>
      </c>
      <c r="M78" s="375"/>
      <c r="N78" s="375"/>
      <c r="O78" s="375"/>
      <c r="P78" s="375"/>
      <c r="Q78" s="375">
        <f>Table148[[#This Row],[Red target]]-Table148[[#This Row],[Red target]]*0.5</f>
        <v>0</v>
      </c>
      <c r="R78" s="375"/>
      <c r="S78" s="375"/>
      <c r="T78" s="375"/>
      <c r="U78" s="375"/>
      <c r="V78" s="375"/>
      <c r="W78" s="375"/>
      <c r="X78" s="375"/>
      <c r="Y78" s="375"/>
      <c r="Z78" s="375"/>
      <c r="AA78" s="375"/>
      <c r="AB78" s="375"/>
      <c r="AC78" s="399"/>
    </row>
    <row r="79" spans="1:29" s="362" customFormat="1" hidden="1" x14ac:dyDescent="0.25">
      <c r="A79" s="389"/>
      <c r="B79" s="372"/>
      <c r="C79" s="372"/>
      <c r="D79" s="372"/>
      <c r="E79" s="379"/>
      <c r="F79" s="380"/>
      <c r="G79" s="381"/>
      <c r="H79" s="421"/>
      <c r="I79" s="375"/>
      <c r="J79" s="375"/>
      <c r="K79" s="375"/>
      <c r="L79" s="431">
        <f>Table148[[#This Row],[Ambitious target 2030]]+Table148[[#This Row],[Ambitious target 2030]]*0.5</f>
        <v>0</v>
      </c>
      <c r="M79" s="375"/>
      <c r="N79" s="375"/>
      <c r="O79" s="431"/>
      <c r="P79" s="431"/>
      <c r="Q79" s="431">
        <f>Table148[[#This Row],[Red target]]-Table148[[#This Row],[Red target]]*0.5</f>
        <v>0</v>
      </c>
      <c r="R79" s="431"/>
      <c r="S79" s="431"/>
      <c r="T79" s="431"/>
      <c r="U79" s="431"/>
      <c r="V79" s="431"/>
      <c r="W79" s="431"/>
      <c r="X79" s="431"/>
      <c r="Y79" s="431"/>
      <c r="Z79" s="431"/>
      <c r="AA79" s="375"/>
      <c r="AB79" s="375"/>
      <c r="AC79" s="399"/>
    </row>
    <row r="80" spans="1:29" s="362" customFormat="1" hidden="1" x14ac:dyDescent="0.25">
      <c r="A80" s="389"/>
      <c r="B80" s="372"/>
      <c r="C80" s="372"/>
      <c r="D80" s="372"/>
      <c r="E80" s="379"/>
      <c r="F80" s="380"/>
      <c r="G80" s="381"/>
      <c r="H80" s="421"/>
      <c r="I80" s="375"/>
      <c r="J80" s="375"/>
      <c r="K80" s="375"/>
      <c r="L80" s="431">
        <f>Table148[[#This Row],[Ambitious target 2030]]+Table148[[#This Row],[Ambitious target 2030]]*0.5</f>
        <v>0</v>
      </c>
      <c r="M80" s="375"/>
      <c r="N80" s="375"/>
      <c r="O80" s="431"/>
      <c r="P80" s="431"/>
      <c r="Q80" s="431">
        <f>Table148[[#This Row],[Red target]]-Table148[[#This Row],[Red target]]*0.5</f>
        <v>0</v>
      </c>
      <c r="R80" s="431"/>
      <c r="S80" s="431"/>
      <c r="T80" s="431"/>
      <c r="U80" s="431"/>
      <c r="V80" s="431"/>
      <c r="W80" s="431"/>
      <c r="X80" s="431"/>
      <c r="Y80" s="431"/>
      <c r="Z80" s="431"/>
      <c r="AA80" s="375"/>
      <c r="AB80" s="375"/>
      <c r="AC80" s="399"/>
    </row>
    <row r="81" spans="1:35" s="362" customFormat="1" hidden="1" x14ac:dyDescent="0.25">
      <c r="A81" s="389"/>
      <c r="B81" s="372"/>
      <c r="C81" s="372"/>
      <c r="D81" s="372"/>
      <c r="E81" s="382"/>
      <c r="F81" s="383"/>
      <c r="G81" s="384"/>
      <c r="H81" s="421"/>
      <c r="I81" s="375"/>
      <c r="J81" s="375"/>
      <c r="K81" s="375"/>
      <c r="L81" s="375">
        <f>Table148[[#This Row],[Ambitious target 2030]]+Table148[[#This Row],[Ambitious target 2030]]*0.5</f>
        <v>0</v>
      </c>
      <c r="M81" s="375"/>
      <c r="N81" s="375"/>
      <c r="O81" s="375"/>
      <c r="P81" s="375"/>
      <c r="Q81" s="375">
        <f>Table148[[#This Row],[Red target]]-Table148[[#This Row],[Red target]]*0.5</f>
        <v>0</v>
      </c>
      <c r="R81" s="375"/>
      <c r="S81" s="375"/>
      <c r="T81" s="375"/>
      <c r="U81" s="375"/>
      <c r="V81" s="375"/>
      <c r="W81" s="375"/>
      <c r="X81" s="375"/>
      <c r="Y81" s="375"/>
      <c r="Z81" s="375"/>
      <c r="AA81" s="375"/>
      <c r="AB81" s="375"/>
      <c r="AC81" s="399"/>
    </row>
    <row r="82" spans="1:35" s="362" customFormat="1" hidden="1" x14ac:dyDescent="0.25">
      <c r="A82" s="389"/>
      <c r="B82" s="372"/>
      <c r="C82" s="372"/>
      <c r="D82" s="372"/>
      <c r="E82" s="382"/>
      <c r="F82" s="383"/>
      <c r="G82" s="384"/>
      <c r="H82" s="421"/>
      <c r="I82" s="375"/>
      <c r="J82" s="375"/>
      <c r="K82" s="375"/>
      <c r="L82" s="375">
        <f>Table148[[#This Row],[Ambitious target 2030]]+Table148[[#This Row],[Ambitious target 2030]]*0.5</f>
        <v>0</v>
      </c>
      <c r="M82" s="375"/>
      <c r="N82" s="375"/>
      <c r="O82" s="375"/>
      <c r="P82" s="375"/>
      <c r="Q82" s="375">
        <f>Table148[[#This Row],[Red target]]-Table148[[#This Row],[Red target]]*0.5</f>
        <v>0</v>
      </c>
      <c r="R82" s="375"/>
      <c r="S82" s="375"/>
      <c r="T82" s="375"/>
      <c r="U82" s="375"/>
      <c r="V82" s="375"/>
      <c r="W82" s="375"/>
      <c r="X82" s="375"/>
      <c r="Y82" s="375"/>
      <c r="Z82" s="375"/>
      <c r="AA82" s="375"/>
      <c r="AB82" s="375"/>
      <c r="AC82" s="399"/>
    </row>
    <row r="83" spans="1:35" s="362" customFormat="1" hidden="1" x14ac:dyDescent="0.25">
      <c r="A83" s="389"/>
      <c r="B83" s="372"/>
      <c r="C83" s="372"/>
      <c r="D83" s="372"/>
      <c r="E83" s="382"/>
      <c r="F83" s="383"/>
      <c r="G83" s="384"/>
      <c r="H83" s="421"/>
      <c r="I83" s="375"/>
      <c r="J83" s="375"/>
      <c r="K83" s="375"/>
      <c r="L83" s="431">
        <f>Table148[[#This Row],[Ambitious target 2030]]+Table148[[#This Row],[Ambitious target 2030]]*0.5</f>
        <v>0</v>
      </c>
      <c r="M83" s="375"/>
      <c r="N83" s="375"/>
      <c r="O83" s="431"/>
      <c r="P83" s="431"/>
      <c r="Q83" s="431">
        <f>Table148[[#This Row],[Red target]]-Table148[[#This Row],[Red target]]*0.5</f>
        <v>0</v>
      </c>
      <c r="R83" s="431"/>
      <c r="S83" s="431"/>
      <c r="T83" s="431"/>
      <c r="U83" s="431"/>
      <c r="V83" s="431"/>
      <c r="W83" s="431"/>
      <c r="X83" s="431"/>
      <c r="Y83" s="431"/>
      <c r="Z83" s="431"/>
      <c r="AA83" s="375"/>
      <c r="AB83" s="375"/>
      <c r="AC83" s="399"/>
    </row>
    <row r="84" spans="1:35" s="362" customFormat="1" hidden="1" x14ac:dyDescent="0.25">
      <c r="A84" s="389"/>
      <c r="B84" s="372"/>
      <c r="C84" s="372"/>
      <c r="D84" s="372"/>
      <c r="E84" s="382"/>
      <c r="F84" s="383"/>
      <c r="G84" s="384"/>
      <c r="H84" s="421"/>
      <c r="I84" s="375"/>
      <c r="J84" s="375"/>
      <c r="K84" s="375"/>
      <c r="L84" s="431">
        <f>Table148[[#This Row],[Ambitious target 2030]]+Table148[[#This Row],[Ambitious target 2030]]*0.5</f>
        <v>0</v>
      </c>
      <c r="M84" s="375"/>
      <c r="N84" s="375"/>
      <c r="O84" s="431"/>
      <c r="P84" s="431"/>
      <c r="Q84" s="431">
        <f>Table148[[#This Row],[Red target]]-Table148[[#This Row],[Red target]]*0.5</f>
        <v>0</v>
      </c>
      <c r="R84" s="431"/>
      <c r="S84" s="431"/>
      <c r="T84" s="431"/>
      <c r="U84" s="431"/>
      <c r="V84" s="431"/>
      <c r="W84" s="431"/>
      <c r="X84" s="431"/>
      <c r="Y84" s="431"/>
      <c r="Z84" s="431"/>
      <c r="AA84" s="375"/>
      <c r="AB84" s="375"/>
      <c r="AC84" s="399"/>
    </row>
    <row r="85" spans="1:35" s="362" customFormat="1" hidden="1" x14ac:dyDescent="0.25">
      <c r="A85" s="389"/>
      <c r="B85" s="372"/>
      <c r="C85" s="372"/>
      <c r="D85" s="372"/>
      <c r="E85" s="382"/>
      <c r="F85" s="383"/>
      <c r="G85" s="384"/>
      <c r="H85" s="421"/>
      <c r="I85" s="375"/>
      <c r="J85" s="375"/>
      <c r="K85" s="375"/>
      <c r="L85" s="431">
        <f>Table148[[#This Row],[Ambitious target 2030]]+Table148[[#This Row],[Ambitious target 2030]]*0.5</f>
        <v>0</v>
      </c>
      <c r="M85" s="375"/>
      <c r="N85" s="375"/>
      <c r="O85" s="431"/>
      <c r="P85" s="431"/>
      <c r="Q85" s="431">
        <f>Table148[[#This Row],[Red target]]-Table148[[#This Row],[Red target]]*0.5</f>
        <v>0</v>
      </c>
      <c r="R85" s="431"/>
      <c r="S85" s="431"/>
      <c r="T85" s="431"/>
      <c r="U85" s="431"/>
      <c r="V85" s="431"/>
      <c r="W85" s="431"/>
      <c r="X85" s="431"/>
      <c r="Y85" s="431"/>
      <c r="Z85" s="431"/>
      <c r="AA85" s="375"/>
      <c r="AB85" s="375"/>
      <c r="AC85" s="399"/>
    </row>
    <row r="86" spans="1:35" s="386" customFormat="1" hidden="1" x14ac:dyDescent="0.25">
      <c r="A86" s="409"/>
      <c r="B86" s="406"/>
      <c r="C86" s="406"/>
      <c r="D86" s="406"/>
      <c r="E86" s="407">
        <v>2016</v>
      </c>
      <c r="F86" s="407">
        <v>2017</v>
      </c>
      <c r="G86" s="407">
        <v>2018</v>
      </c>
      <c r="H86" s="407"/>
      <c r="I86" s="407"/>
      <c r="J86" s="407"/>
      <c r="K86" s="407"/>
      <c r="L86" s="407">
        <f>Table148[[#This Row],[Ambitious target 2030]]+Table148[[#This Row],[Ambitious target 2030]]*0.5</f>
        <v>0</v>
      </c>
      <c r="M86" s="407"/>
      <c r="N86" s="407"/>
      <c r="O86" s="407"/>
      <c r="P86" s="407"/>
      <c r="Q86" s="407">
        <f>Table148[[#This Row],[Red target]]-Table148[[#This Row],[Red target]]*0.5</f>
        <v>0</v>
      </c>
      <c r="R86" s="407"/>
      <c r="S86" s="407"/>
      <c r="T86" s="407"/>
      <c r="U86" s="407"/>
      <c r="V86" s="407"/>
      <c r="W86" s="407"/>
      <c r="X86" s="407"/>
      <c r="Y86" s="407"/>
      <c r="Z86" s="407"/>
      <c r="AA86" s="407"/>
      <c r="AB86" s="407"/>
      <c r="AC86" s="413"/>
    </row>
    <row r="87" spans="1:35" x14ac:dyDescent="0.25">
      <c r="A87" s="418" t="s">
        <v>549</v>
      </c>
      <c r="B87" s="437" t="s">
        <v>547</v>
      </c>
      <c r="C87" s="437" t="s">
        <v>219</v>
      </c>
      <c r="D87" s="436" t="s">
        <v>904</v>
      </c>
      <c r="E87" s="420">
        <v>72.180484340000007</v>
      </c>
      <c r="F87" s="420">
        <v>72.385296440000005</v>
      </c>
      <c r="G87" s="420">
        <v>72.560055829999996</v>
      </c>
      <c r="H87" s="421">
        <v>2016</v>
      </c>
      <c r="I87" s="421">
        <v>72.180484340000007</v>
      </c>
      <c r="J87" s="421">
        <v>2015</v>
      </c>
      <c r="K87" s="411">
        <v>68.372799999999998</v>
      </c>
      <c r="L87" s="411">
        <f>Table148[[#This Row],[Ambitious target 2030]]+Table148[[#This Row],[Ambitious target 2030]]*0.5</f>
        <v>113.1777439002</v>
      </c>
      <c r="M87" s="421">
        <f>AVERAGE(G88:G92)*0.9</f>
        <v>75.451829266800004</v>
      </c>
      <c r="N87" s="421"/>
      <c r="O87" s="421">
        <f>(M87-K87)*0.5+K87</f>
        <v>71.912314633400001</v>
      </c>
      <c r="P87" s="421">
        <f>(Table148[[#This Row],[Ambitious target 2030]]-Table148[[#This Row],[Model reference value]])*0.25+Table148[[#This Row],[Model reference value]]</f>
        <v>70.142557316699992</v>
      </c>
      <c r="Q87" s="421">
        <f>Table148[[#This Row],[Red target]]-Table148[[#This Row],[Red target]]*0.5</f>
        <v>34.186399999999999</v>
      </c>
      <c r="R87" s="421">
        <f>AVERAGE(G88:G92)*1</f>
        <v>83.835365851999995</v>
      </c>
      <c r="S87" s="421"/>
      <c r="T87" s="421">
        <f>(Table148[[#This Row],[Ambitious target 2050]]-Table148[[#This Row],[Model reference value]])*0.5+Table148[[#This Row],[Model reference value]]</f>
        <v>76.10408292599999</v>
      </c>
      <c r="U87" s="421">
        <f>(Table148[[#This Row],[Ambitious target 2050]]-Table148[[#This Row],[Model reference value]])*0.25+Table148[[#This Row],[Model reference value]]</f>
        <v>72.238441463000001</v>
      </c>
      <c r="V87" s="421">
        <f>AVERAGE(G88:G92)*1.1</f>
        <v>92.218902437200001</v>
      </c>
      <c r="W87" s="421"/>
      <c r="X87" s="421">
        <f>(Table148[[#This Row],[Ambitious target 2100]]-Table148[[#This Row],[Model reference value]])*0.5+Table148[[#This Row],[Model reference value]]</f>
        <v>80.295851218600006</v>
      </c>
      <c r="Y87" s="421">
        <f>(Table148[[#This Row],[Ambitious target 2100]]-Table148[[#This Row],[Model reference value]])*0.25+Table148[[#This Row],[Model reference value]]</f>
        <v>74.334325609299995</v>
      </c>
      <c r="Z87" s="421">
        <f>K87</f>
        <v>68.372799999999998</v>
      </c>
      <c r="AA87" s="421" t="s">
        <v>978</v>
      </c>
      <c r="AB87" s="421" t="s">
        <v>1169</v>
      </c>
      <c r="AC87" s="419" t="s">
        <v>714</v>
      </c>
      <c r="AD87" s="360"/>
      <c r="AE87" s="360"/>
      <c r="AF87" s="360"/>
      <c r="AG87" s="360"/>
      <c r="AH87" s="360"/>
      <c r="AI87" s="360"/>
    </row>
    <row r="88" spans="1:35" hidden="1" x14ac:dyDescent="0.25">
      <c r="A88" s="390"/>
      <c r="B88" s="369"/>
      <c r="C88" s="369"/>
      <c r="D88" s="369" t="s">
        <v>708</v>
      </c>
      <c r="E88" s="379">
        <v>84.226829269999996</v>
      </c>
      <c r="F88" s="380">
        <v>84.680487799999995</v>
      </c>
      <c r="G88" s="381">
        <v>84.934146339999998</v>
      </c>
      <c r="H88" s="421"/>
      <c r="I88" s="375"/>
      <c r="J88" s="375"/>
      <c r="K88" s="375"/>
      <c r="L88" s="375">
        <f>Table148[[#This Row],[Ambitious target 2030]]+Table148[[#This Row],[Ambitious target 2030]]*0.5</f>
        <v>0</v>
      </c>
      <c r="M88" s="375"/>
      <c r="N88" s="375"/>
      <c r="O88" s="375"/>
      <c r="P88" s="375"/>
      <c r="Q88" s="375">
        <f>Table148[[#This Row],[Red target]]-Table148[[#This Row],[Red target]]*0.5</f>
        <v>0</v>
      </c>
      <c r="R88" s="375"/>
      <c r="S88" s="375"/>
      <c r="T88" s="375"/>
      <c r="U88" s="375"/>
      <c r="V88" s="375"/>
      <c r="W88" s="375"/>
      <c r="X88" s="375"/>
      <c r="Y88" s="375"/>
      <c r="Z88" s="375"/>
      <c r="AA88" s="375"/>
      <c r="AB88" s="375"/>
      <c r="AC88" s="396"/>
      <c r="AD88" s="360"/>
      <c r="AE88" s="360"/>
      <c r="AF88" s="360"/>
      <c r="AG88" s="360"/>
      <c r="AH88" s="360"/>
      <c r="AI88" s="360"/>
    </row>
    <row r="89" spans="1:35" hidden="1" x14ac:dyDescent="0.25">
      <c r="A89" s="390"/>
      <c r="B89" s="369"/>
      <c r="C89" s="369"/>
      <c r="D89" s="369" t="s">
        <v>715</v>
      </c>
      <c r="E89" s="379">
        <v>83.984878050000006</v>
      </c>
      <c r="F89" s="380">
        <v>84.099756099999993</v>
      </c>
      <c r="G89" s="381">
        <v>84.210975610000006</v>
      </c>
      <c r="H89" s="421"/>
      <c r="I89" s="375"/>
      <c r="J89" s="375"/>
      <c r="K89" s="375"/>
      <c r="L89" s="375">
        <f>Table148[[#This Row],[Ambitious target 2030]]+Table148[[#This Row],[Ambitious target 2030]]*0.5</f>
        <v>0</v>
      </c>
      <c r="M89" s="375"/>
      <c r="N89" s="375"/>
      <c r="O89" s="375"/>
      <c r="P89" s="375"/>
      <c r="Q89" s="375">
        <f>Table148[[#This Row],[Red target]]-Table148[[#This Row],[Red target]]*0.5</f>
        <v>0</v>
      </c>
      <c r="R89" s="375"/>
      <c r="S89" s="375"/>
      <c r="T89" s="375"/>
      <c r="U89" s="375"/>
      <c r="V89" s="375"/>
      <c r="W89" s="375"/>
      <c r="X89" s="375"/>
      <c r="Y89" s="375"/>
      <c r="Z89" s="375"/>
      <c r="AA89" s="375"/>
      <c r="AB89" s="375"/>
      <c r="AC89" s="396"/>
      <c r="AD89" s="360"/>
      <c r="AE89" s="360"/>
      <c r="AF89" s="360"/>
      <c r="AG89" s="360"/>
      <c r="AH89" s="360"/>
      <c r="AI89" s="360"/>
    </row>
    <row r="90" spans="1:35" hidden="1" x14ac:dyDescent="0.25">
      <c r="A90" s="390"/>
      <c r="B90" s="369"/>
      <c r="C90" s="369"/>
      <c r="D90" s="369" t="s">
        <v>700</v>
      </c>
      <c r="E90" s="379">
        <v>83.602439020000006</v>
      </c>
      <c r="F90" s="380">
        <v>83.551219509999996</v>
      </c>
      <c r="G90" s="381">
        <v>83.551219509999996</v>
      </c>
      <c r="H90" s="421"/>
      <c r="I90" s="375"/>
      <c r="J90" s="375"/>
      <c r="K90" s="375"/>
      <c r="L90" s="375">
        <f>Table148[[#This Row],[Ambitious target 2030]]+Table148[[#This Row],[Ambitious target 2030]]*0.5</f>
        <v>0</v>
      </c>
      <c r="M90" s="375"/>
      <c r="N90" s="375"/>
      <c r="O90" s="375"/>
      <c r="P90" s="375"/>
      <c r="Q90" s="375">
        <f>Table148[[#This Row],[Red target]]-Table148[[#This Row],[Red target]]*0.5</f>
        <v>0</v>
      </c>
      <c r="R90" s="375"/>
      <c r="S90" s="375"/>
      <c r="T90" s="375"/>
      <c r="U90" s="375"/>
      <c r="V90" s="375"/>
      <c r="W90" s="375"/>
      <c r="X90" s="375"/>
      <c r="Y90" s="375"/>
      <c r="Z90" s="375"/>
      <c r="AA90" s="375"/>
      <c r="AB90" s="375"/>
      <c r="AC90" s="396"/>
      <c r="AD90" s="360"/>
      <c r="AE90" s="360"/>
      <c r="AF90" s="360"/>
      <c r="AG90" s="360"/>
      <c r="AH90" s="360"/>
      <c r="AI90" s="360"/>
    </row>
    <row r="91" spans="1:35" hidden="1" x14ac:dyDescent="0.25">
      <c r="A91" s="390"/>
      <c r="B91" s="369"/>
      <c r="C91" s="369"/>
      <c r="D91" s="369" t="s">
        <v>716</v>
      </c>
      <c r="E91" s="379">
        <v>83.329268290000002</v>
      </c>
      <c r="F91" s="380">
        <v>83.282926829999994</v>
      </c>
      <c r="G91" s="381">
        <v>83.334146340000004</v>
      </c>
      <c r="H91" s="421"/>
      <c r="I91" s="375"/>
      <c r="J91" s="375"/>
      <c r="K91" s="375"/>
      <c r="L91" s="375">
        <f>Table148[[#This Row],[Ambitious target 2030]]+Table148[[#This Row],[Ambitious target 2030]]*0.5</f>
        <v>0</v>
      </c>
      <c r="M91" s="375"/>
      <c r="N91" s="375"/>
      <c r="O91" s="375"/>
      <c r="P91" s="375"/>
      <c r="Q91" s="375">
        <f>Table148[[#This Row],[Red target]]-Table148[[#This Row],[Red target]]*0.5</f>
        <v>0</v>
      </c>
      <c r="R91" s="375"/>
      <c r="S91" s="375"/>
      <c r="T91" s="375"/>
      <c r="U91" s="375"/>
      <c r="V91" s="375"/>
      <c r="W91" s="375"/>
      <c r="X91" s="375"/>
      <c r="Y91" s="375"/>
      <c r="Z91" s="375"/>
      <c r="AA91" s="375"/>
      <c r="AB91" s="375"/>
      <c r="AC91" s="396"/>
      <c r="AD91" s="360"/>
      <c r="AE91" s="360"/>
      <c r="AF91" s="360"/>
      <c r="AG91" s="360"/>
      <c r="AH91" s="360"/>
      <c r="AI91" s="360"/>
    </row>
    <row r="92" spans="1:35" hidden="1" x14ac:dyDescent="0.25">
      <c r="A92" s="390"/>
      <c r="B92" s="369"/>
      <c r="C92" s="369"/>
      <c r="D92" s="369" t="s">
        <v>702</v>
      </c>
      <c r="E92" s="379">
        <v>82.846341460000005</v>
      </c>
      <c r="F92" s="380">
        <v>83.095121950000006</v>
      </c>
      <c r="G92" s="381">
        <v>83.146341460000002</v>
      </c>
      <c r="H92" s="421"/>
      <c r="I92" s="375"/>
      <c r="J92" s="375"/>
      <c r="K92" s="375"/>
      <c r="L92" s="375">
        <f>Table148[[#This Row],[Ambitious target 2030]]+Table148[[#This Row],[Ambitious target 2030]]*0.5</f>
        <v>0</v>
      </c>
      <c r="M92" s="375"/>
      <c r="N92" s="375"/>
      <c r="O92" s="375"/>
      <c r="P92" s="375"/>
      <c r="Q92" s="375">
        <f>Table148[[#This Row],[Red target]]-Table148[[#This Row],[Red target]]*0.5</f>
        <v>0</v>
      </c>
      <c r="R92" s="375"/>
      <c r="S92" s="375"/>
      <c r="T92" s="375"/>
      <c r="U92" s="375"/>
      <c r="V92" s="375"/>
      <c r="W92" s="375"/>
      <c r="X92" s="375"/>
      <c r="Y92" s="375"/>
      <c r="Z92" s="375"/>
      <c r="AA92" s="375"/>
      <c r="AB92" s="375"/>
      <c r="AC92" s="396"/>
      <c r="AD92" s="360"/>
      <c r="AE92" s="360"/>
      <c r="AF92" s="360"/>
      <c r="AG92" s="360"/>
      <c r="AH92" s="360"/>
      <c r="AI92" s="360"/>
    </row>
    <row r="93" spans="1:35" hidden="1" x14ac:dyDescent="0.25">
      <c r="A93" s="390"/>
      <c r="B93" s="369"/>
      <c r="C93" s="369"/>
      <c r="D93" s="369" t="s">
        <v>711</v>
      </c>
      <c r="E93" s="382">
        <v>53.438000000000002</v>
      </c>
      <c r="F93" s="383">
        <v>53.712000000000003</v>
      </c>
      <c r="G93" s="384">
        <v>53.976999999999997</v>
      </c>
      <c r="H93" s="421"/>
      <c r="I93" s="375"/>
      <c r="J93" s="375"/>
      <c r="K93" s="375"/>
      <c r="L93" s="375">
        <f>Table148[[#This Row],[Ambitious target 2030]]+Table148[[#This Row],[Ambitious target 2030]]*0.5</f>
        <v>0</v>
      </c>
      <c r="M93" s="375"/>
      <c r="N93" s="375"/>
      <c r="O93" s="375"/>
      <c r="P93" s="375"/>
      <c r="Q93" s="375">
        <f>Table148[[#This Row],[Red target]]-Table148[[#This Row],[Red target]]*0.5</f>
        <v>0</v>
      </c>
      <c r="R93" s="375"/>
      <c r="S93" s="375"/>
      <c r="T93" s="375"/>
      <c r="U93" s="375"/>
      <c r="V93" s="375"/>
      <c r="W93" s="375"/>
      <c r="X93" s="375"/>
      <c r="Y93" s="375"/>
      <c r="Z93" s="375"/>
      <c r="AA93" s="375"/>
      <c r="AB93" s="375"/>
      <c r="AC93" s="396"/>
      <c r="AD93" s="360"/>
      <c r="AE93" s="360"/>
      <c r="AF93" s="360"/>
      <c r="AG93" s="360"/>
      <c r="AH93" s="360"/>
      <c r="AI93" s="360"/>
    </row>
    <row r="94" spans="1:35" hidden="1" x14ac:dyDescent="0.25">
      <c r="A94" s="390"/>
      <c r="B94" s="369"/>
      <c r="C94" s="369"/>
      <c r="D94" s="369" t="s">
        <v>705</v>
      </c>
      <c r="E94" s="382">
        <v>53.444000000000003</v>
      </c>
      <c r="F94" s="383">
        <v>53.895000000000003</v>
      </c>
      <c r="G94" s="384">
        <v>54.308999999999997</v>
      </c>
      <c r="H94" s="421"/>
      <c r="I94" s="375"/>
      <c r="J94" s="375"/>
      <c r="K94" s="375"/>
      <c r="L94" s="375">
        <f>Table148[[#This Row],[Ambitious target 2030]]+Table148[[#This Row],[Ambitious target 2030]]*0.5</f>
        <v>0</v>
      </c>
      <c r="M94" s="375"/>
      <c r="N94" s="375"/>
      <c r="O94" s="375"/>
      <c r="P94" s="375"/>
      <c r="Q94" s="375">
        <f>Table148[[#This Row],[Red target]]-Table148[[#This Row],[Red target]]*0.5</f>
        <v>0</v>
      </c>
      <c r="R94" s="375"/>
      <c r="S94" s="375"/>
      <c r="T94" s="375"/>
      <c r="U94" s="375"/>
      <c r="V94" s="375"/>
      <c r="W94" s="375"/>
      <c r="X94" s="375"/>
      <c r="Y94" s="375"/>
      <c r="Z94" s="375"/>
      <c r="AA94" s="375"/>
      <c r="AB94" s="375"/>
      <c r="AC94" s="396"/>
      <c r="AD94" s="360"/>
      <c r="AE94" s="360"/>
      <c r="AF94" s="360"/>
      <c r="AG94" s="360"/>
      <c r="AH94" s="360"/>
      <c r="AI94" s="360"/>
    </row>
    <row r="95" spans="1:35" hidden="1" x14ac:dyDescent="0.25">
      <c r="A95" s="390"/>
      <c r="B95" s="369"/>
      <c r="C95" s="369"/>
      <c r="D95" s="369" t="s">
        <v>717</v>
      </c>
      <c r="E95" s="382">
        <v>53.540999999999997</v>
      </c>
      <c r="F95" s="383">
        <v>53.95</v>
      </c>
      <c r="G95" s="384">
        <v>54.332000000000001</v>
      </c>
      <c r="H95" s="421"/>
      <c r="I95" s="375"/>
      <c r="J95" s="375"/>
      <c r="K95" s="375"/>
      <c r="L95" s="375">
        <f>Table148[[#This Row],[Ambitious target 2030]]+Table148[[#This Row],[Ambitious target 2030]]*0.5</f>
        <v>0</v>
      </c>
      <c r="M95" s="375"/>
      <c r="N95" s="375"/>
      <c r="O95" s="375"/>
      <c r="P95" s="375"/>
      <c r="Q95" s="375">
        <f>Table148[[#This Row],[Red target]]-Table148[[#This Row],[Red target]]*0.5</f>
        <v>0</v>
      </c>
      <c r="R95" s="375"/>
      <c r="S95" s="375"/>
      <c r="T95" s="375"/>
      <c r="U95" s="375"/>
      <c r="V95" s="375"/>
      <c r="W95" s="375"/>
      <c r="X95" s="375"/>
      <c r="Y95" s="375"/>
      <c r="Z95" s="375"/>
      <c r="AA95" s="375"/>
      <c r="AB95" s="375"/>
      <c r="AC95" s="396"/>
      <c r="AD95" s="360"/>
      <c r="AE95" s="360"/>
      <c r="AF95" s="360"/>
      <c r="AG95" s="360"/>
      <c r="AH95" s="360"/>
      <c r="AI95" s="360"/>
    </row>
    <row r="96" spans="1:35" hidden="1" x14ac:dyDescent="0.25">
      <c r="A96" s="390"/>
      <c r="B96" s="369"/>
      <c r="C96" s="369"/>
      <c r="D96" s="369" t="s">
        <v>683</v>
      </c>
      <c r="E96" s="382">
        <v>56.323999999999998</v>
      </c>
      <c r="F96" s="383">
        <v>56.709000000000003</v>
      </c>
      <c r="G96" s="384">
        <v>57.067999999999998</v>
      </c>
      <c r="H96" s="421"/>
      <c r="I96" s="375"/>
      <c r="J96" s="375"/>
      <c r="K96" s="375"/>
      <c r="L96" s="375">
        <f>Table148[[#This Row],[Ambitious target 2030]]+Table148[[#This Row],[Ambitious target 2030]]*0.5</f>
        <v>0</v>
      </c>
      <c r="M96" s="375"/>
      <c r="N96" s="375"/>
      <c r="O96" s="375"/>
      <c r="P96" s="375"/>
      <c r="Q96" s="375">
        <f>Table148[[#This Row],[Red target]]-Table148[[#This Row],[Red target]]*0.5</f>
        <v>0</v>
      </c>
      <c r="R96" s="375"/>
      <c r="S96" s="375"/>
      <c r="T96" s="375"/>
      <c r="U96" s="375"/>
      <c r="V96" s="375"/>
      <c r="W96" s="375"/>
      <c r="X96" s="375"/>
      <c r="Y96" s="375"/>
      <c r="Z96" s="375"/>
      <c r="AA96" s="375"/>
      <c r="AB96" s="375"/>
      <c r="AC96" s="396"/>
      <c r="AD96" s="360"/>
      <c r="AE96" s="360"/>
      <c r="AF96" s="360"/>
      <c r="AG96" s="360"/>
      <c r="AH96" s="360"/>
      <c r="AI96" s="360"/>
    </row>
    <row r="97" spans="1:35" hidden="1" x14ac:dyDescent="0.25">
      <c r="A97" s="390"/>
      <c r="B97" s="369"/>
      <c r="C97" s="369"/>
      <c r="D97" s="369" t="s">
        <v>718</v>
      </c>
      <c r="E97" s="382">
        <v>57.12</v>
      </c>
      <c r="F97" s="383">
        <v>57.365000000000002</v>
      </c>
      <c r="G97" s="384">
        <v>57.603999999999999</v>
      </c>
      <c r="H97" s="421"/>
      <c r="I97" s="375"/>
      <c r="J97" s="375"/>
      <c r="K97" s="375"/>
      <c r="L97" s="375">
        <f>Table148[[#This Row],[Ambitious target 2030]]+Table148[[#This Row],[Ambitious target 2030]]*0.5</f>
        <v>0</v>
      </c>
      <c r="M97" s="375"/>
      <c r="N97" s="375"/>
      <c r="O97" s="375"/>
      <c r="P97" s="375"/>
      <c r="Q97" s="375">
        <f>Table148[[#This Row],[Red target]]-Table148[[#This Row],[Red target]]*0.5</f>
        <v>0</v>
      </c>
      <c r="R97" s="375"/>
      <c r="S97" s="375"/>
      <c r="T97" s="375"/>
      <c r="U97" s="375"/>
      <c r="V97" s="375"/>
      <c r="W97" s="375"/>
      <c r="X97" s="375"/>
      <c r="Y97" s="375"/>
      <c r="Z97" s="375"/>
      <c r="AA97" s="375"/>
      <c r="AB97" s="375"/>
      <c r="AC97" s="396"/>
      <c r="AD97" s="360"/>
      <c r="AE97" s="360"/>
      <c r="AF97" s="360"/>
      <c r="AG97" s="360"/>
      <c r="AH97" s="360"/>
      <c r="AI97" s="360"/>
    </row>
    <row r="98" spans="1:35" s="386" customFormat="1" hidden="1" x14ac:dyDescent="0.25">
      <c r="A98" s="409"/>
      <c r="B98" s="406"/>
      <c r="C98" s="406"/>
      <c r="D98" s="406"/>
      <c r="E98" s="407">
        <v>2016</v>
      </c>
      <c r="F98" s="407">
        <v>2017</v>
      </c>
      <c r="G98" s="407">
        <v>2018</v>
      </c>
      <c r="H98" s="407"/>
      <c r="I98" s="407"/>
      <c r="J98" s="407"/>
      <c r="K98" s="407"/>
      <c r="L98" s="407">
        <f>Table148[[#This Row],[Ambitious target 2030]]+Table148[[#This Row],[Ambitious target 2030]]*0.5</f>
        <v>0</v>
      </c>
      <c r="M98" s="407"/>
      <c r="N98" s="407"/>
      <c r="O98" s="407"/>
      <c r="P98" s="407"/>
      <c r="Q98" s="407">
        <f>Table148[[#This Row],[Red target]]-Table148[[#This Row],[Red target]]*0.5</f>
        <v>0</v>
      </c>
      <c r="R98" s="407"/>
      <c r="S98" s="407"/>
      <c r="T98" s="407"/>
      <c r="U98" s="407"/>
      <c r="V98" s="407"/>
      <c r="W98" s="407"/>
      <c r="X98" s="407"/>
      <c r="Y98" s="407"/>
      <c r="Z98" s="407"/>
      <c r="AA98" s="407"/>
      <c r="AB98" s="407"/>
      <c r="AC98" s="413"/>
    </row>
    <row r="99" spans="1:35" x14ac:dyDescent="0.25">
      <c r="A99" s="418" t="s">
        <v>550</v>
      </c>
      <c r="B99" s="437" t="s">
        <v>548</v>
      </c>
      <c r="C99" s="437" t="s">
        <v>191</v>
      </c>
      <c r="D99" s="436" t="s">
        <v>904</v>
      </c>
      <c r="E99" s="420">
        <v>0.72699999999999998</v>
      </c>
      <c r="F99" s="420">
        <v>0.72899999999999998</v>
      </c>
      <c r="G99" s="420">
        <v>0.73099999999999998</v>
      </c>
      <c r="H99" s="421">
        <v>2016</v>
      </c>
      <c r="I99" s="421">
        <v>0.72699999999999998</v>
      </c>
      <c r="J99" s="421">
        <v>2015</v>
      </c>
      <c r="K99" s="411">
        <v>0.68093999999999999</v>
      </c>
      <c r="L99" s="411">
        <v>1</v>
      </c>
      <c r="M99" s="421">
        <f>AVERAGE(G100:G104)*0.9</f>
        <v>0.84960000000000002</v>
      </c>
      <c r="N99" s="421"/>
      <c r="O99" s="421">
        <f>(M99-K99)*0.5+K99</f>
        <v>0.76527000000000001</v>
      </c>
      <c r="P99" s="421">
        <f>(Table148[[#This Row],[Ambitious target 2030]]-Table148[[#This Row],[Model reference value]])*0.25+Table148[[#This Row],[Model reference value]]</f>
        <v>0.723105</v>
      </c>
      <c r="Q99" s="421">
        <f>Table148[[#This Row],[Red target]]-Table148[[#This Row],[Red target]]*0.5</f>
        <v>0.34046999999999999</v>
      </c>
      <c r="R99" s="421">
        <f>AVERAGE(G100:G104)*1</f>
        <v>0.94399999999999995</v>
      </c>
      <c r="S99" s="421"/>
      <c r="T99" s="421">
        <f>(Table148[[#This Row],[Ambitious target 2050]]-Table148[[#This Row],[Model reference value]])*0.5+Table148[[#This Row],[Model reference value]]</f>
        <v>0.81247000000000003</v>
      </c>
      <c r="U99" s="421">
        <f>(Table148[[#This Row],[Ambitious target 2050]]-Table148[[#This Row],[Model reference value]])*0.25+Table148[[#This Row],[Model reference value]]</f>
        <v>0.74670499999999995</v>
      </c>
      <c r="V99" s="421">
        <v>1</v>
      </c>
      <c r="W99" s="421"/>
      <c r="X99" s="421">
        <f>(Table148[[#This Row],[Ambitious target 2100]]-Table148[[#This Row],[Model reference value]])*0.5+Table148[[#This Row],[Model reference value]]</f>
        <v>0.84047000000000005</v>
      </c>
      <c r="Y99" s="421">
        <f>(Table148[[#This Row],[Ambitious target 2100]]-Table148[[#This Row],[Model reference value]])*0.25+Table148[[#This Row],[Model reference value]]</f>
        <v>0.76070499999999996</v>
      </c>
      <c r="Z99" s="421">
        <f>K99</f>
        <v>0.68093999999999999</v>
      </c>
      <c r="AA99" s="421" t="s">
        <v>978</v>
      </c>
      <c r="AB99" s="421" t="s">
        <v>1170</v>
      </c>
      <c r="AC99" s="419" t="s">
        <v>719</v>
      </c>
      <c r="AD99" s="360"/>
      <c r="AE99" s="360"/>
      <c r="AF99" s="360"/>
      <c r="AG99" s="360"/>
      <c r="AH99" s="360"/>
      <c r="AI99" s="360"/>
    </row>
    <row r="100" spans="1:35" hidden="1" x14ac:dyDescent="0.25">
      <c r="A100" s="390"/>
      <c r="B100" s="369"/>
      <c r="C100" s="369"/>
      <c r="D100" s="369" t="s">
        <v>690</v>
      </c>
      <c r="E100" s="379">
        <v>0.95099999999999996</v>
      </c>
      <c r="F100" s="380">
        <v>0.95299999999999996</v>
      </c>
      <c r="G100" s="381">
        <v>0.95399999999999996</v>
      </c>
      <c r="H100" s="421"/>
      <c r="I100" s="375"/>
      <c r="J100" s="375"/>
      <c r="K100" s="375"/>
      <c r="L100" s="375">
        <f>Table148[[#This Row],[Ambitious target 2030]]+Table148[[#This Row],[Ambitious target 2030]]*0.5</f>
        <v>0</v>
      </c>
      <c r="M100" s="375"/>
      <c r="N100" s="375"/>
      <c r="O100" s="375"/>
      <c r="P100" s="375"/>
      <c r="Q100" s="375">
        <f>Table148[[#This Row],[Red target]]-Table148[[#This Row],[Red target]]*0.5</f>
        <v>0</v>
      </c>
      <c r="R100" s="375"/>
      <c r="S100" s="375"/>
      <c r="T100" s="375"/>
      <c r="U100" s="375"/>
      <c r="V100" s="375"/>
      <c r="W100" s="375"/>
      <c r="X100" s="375"/>
      <c r="Y100" s="375"/>
      <c r="Z100" s="375"/>
      <c r="AA100" s="375"/>
      <c r="AB100" s="375"/>
      <c r="AC100" s="396"/>
      <c r="AD100" s="360"/>
      <c r="AE100" s="360"/>
      <c r="AF100" s="360"/>
      <c r="AG100" s="360"/>
      <c r="AH100" s="360"/>
      <c r="AI100" s="360"/>
    </row>
    <row r="101" spans="1:35" hidden="1" x14ac:dyDescent="0.25">
      <c r="A101" s="390"/>
      <c r="B101" s="369"/>
      <c r="C101" s="369"/>
      <c r="D101" s="369" t="s">
        <v>700</v>
      </c>
      <c r="E101" s="379">
        <v>0.94299999999999995</v>
      </c>
      <c r="F101" s="380">
        <v>0.94299999999999995</v>
      </c>
      <c r="G101" s="381">
        <v>0.94599999999999995</v>
      </c>
      <c r="H101" s="421"/>
      <c r="I101" s="375"/>
      <c r="J101" s="375"/>
      <c r="K101" s="375"/>
      <c r="L101" s="375">
        <f>Table148[[#This Row],[Ambitious target 2030]]+Table148[[#This Row],[Ambitious target 2030]]*0.5</f>
        <v>0</v>
      </c>
      <c r="M101" s="375"/>
      <c r="N101" s="375"/>
      <c r="O101" s="375"/>
      <c r="P101" s="375"/>
      <c r="Q101" s="375">
        <f>Table148[[#This Row],[Red target]]-Table148[[#This Row],[Red target]]*0.5</f>
        <v>0</v>
      </c>
      <c r="R101" s="375"/>
      <c r="S101" s="375"/>
      <c r="T101" s="375"/>
      <c r="U101" s="375"/>
      <c r="V101" s="375"/>
      <c r="W101" s="375"/>
      <c r="X101" s="375"/>
      <c r="Y101" s="375"/>
      <c r="Z101" s="375"/>
      <c r="AA101" s="375"/>
      <c r="AB101" s="375"/>
      <c r="AC101" s="396"/>
      <c r="AD101" s="360"/>
      <c r="AE101" s="360"/>
      <c r="AF101" s="360"/>
      <c r="AG101" s="360"/>
      <c r="AH101" s="360"/>
      <c r="AI101" s="360"/>
    </row>
    <row r="102" spans="1:35" hidden="1" x14ac:dyDescent="0.25">
      <c r="A102" s="390"/>
      <c r="B102" s="369"/>
      <c r="C102" s="369"/>
      <c r="D102" s="369" t="s">
        <v>681</v>
      </c>
      <c r="E102" s="379">
        <v>0.93600000000000005</v>
      </c>
      <c r="F102" s="380">
        <v>0.93899999999999995</v>
      </c>
      <c r="G102" s="381">
        <v>0.94199999999999995</v>
      </c>
      <c r="H102" s="421"/>
      <c r="I102" s="375"/>
      <c r="J102" s="375"/>
      <c r="K102" s="375"/>
      <c r="L102" s="375">
        <f>Table148[[#This Row],[Ambitious target 2030]]+Table148[[#This Row],[Ambitious target 2030]]*0.5</f>
        <v>0</v>
      </c>
      <c r="M102" s="375"/>
      <c r="N102" s="375"/>
      <c r="O102" s="375"/>
      <c r="P102" s="375"/>
      <c r="Q102" s="375">
        <f>Table148[[#This Row],[Red target]]-Table148[[#This Row],[Red target]]*0.5</f>
        <v>0</v>
      </c>
      <c r="R102" s="375"/>
      <c r="S102" s="375"/>
      <c r="T102" s="375"/>
      <c r="U102" s="375"/>
      <c r="V102" s="375"/>
      <c r="W102" s="375"/>
      <c r="X102" s="375"/>
      <c r="Y102" s="375"/>
      <c r="Z102" s="375"/>
      <c r="AA102" s="375"/>
      <c r="AB102" s="375"/>
      <c r="AC102" s="396"/>
      <c r="AD102" s="360"/>
      <c r="AE102" s="360"/>
      <c r="AF102" s="360"/>
      <c r="AG102" s="360"/>
      <c r="AH102" s="360"/>
      <c r="AI102" s="360"/>
    </row>
    <row r="103" spans="1:35" hidden="1" x14ac:dyDescent="0.25">
      <c r="A103" s="390"/>
      <c r="B103" s="369"/>
      <c r="C103" s="369"/>
      <c r="D103" s="369" t="s">
        <v>720</v>
      </c>
      <c r="E103" s="379">
        <v>0.93600000000000005</v>
      </c>
      <c r="F103" s="380">
        <v>0.93799999999999994</v>
      </c>
      <c r="G103" s="381">
        <v>0.93899999999999995</v>
      </c>
      <c r="H103" s="421"/>
      <c r="I103" s="375"/>
      <c r="J103" s="375"/>
      <c r="K103" s="375"/>
      <c r="L103" s="375">
        <f>Table148[[#This Row],[Ambitious target 2030]]+Table148[[#This Row],[Ambitious target 2030]]*0.5</f>
        <v>0</v>
      </c>
      <c r="M103" s="375"/>
      <c r="N103" s="375"/>
      <c r="O103" s="375"/>
      <c r="P103" s="375"/>
      <c r="Q103" s="375">
        <f>Table148[[#This Row],[Red target]]-Table148[[#This Row],[Red target]]*0.5</f>
        <v>0</v>
      </c>
      <c r="R103" s="375"/>
      <c r="S103" s="375"/>
      <c r="T103" s="375"/>
      <c r="U103" s="375"/>
      <c r="V103" s="375"/>
      <c r="W103" s="375"/>
      <c r="X103" s="375"/>
      <c r="Y103" s="375"/>
      <c r="Z103" s="375"/>
      <c r="AA103" s="375"/>
      <c r="AB103" s="375"/>
      <c r="AC103" s="396"/>
      <c r="AD103" s="360"/>
      <c r="AE103" s="360"/>
      <c r="AF103" s="360"/>
      <c r="AG103" s="360"/>
      <c r="AH103" s="360"/>
      <c r="AI103" s="360"/>
    </row>
    <row r="104" spans="1:35" hidden="1" x14ac:dyDescent="0.25">
      <c r="A104" s="390"/>
      <c r="B104" s="369"/>
      <c r="C104" s="369"/>
      <c r="D104" s="369" t="s">
        <v>721</v>
      </c>
      <c r="E104" s="379">
        <v>0.93100000000000005</v>
      </c>
      <c r="F104" s="380">
        <v>0.93700000000000006</v>
      </c>
      <c r="G104" s="381">
        <v>0.93899999999999995</v>
      </c>
      <c r="H104" s="421"/>
      <c r="I104" s="375"/>
      <c r="J104" s="375"/>
      <c r="K104" s="375"/>
      <c r="L104" s="375">
        <f>Table148[[#This Row],[Ambitious target 2030]]+Table148[[#This Row],[Ambitious target 2030]]*0.5</f>
        <v>0</v>
      </c>
      <c r="M104" s="375"/>
      <c r="N104" s="375"/>
      <c r="O104" s="375"/>
      <c r="P104" s="375"/>
      <c r="Q104" s="375">
        <f>Table148[[#This Row],[Red target]]-Table148[[#This Row],[Red target]]*0.5</f>
        <v>0</v>
      </c>
      <c r="R104" s="375"/>
      <c r="S104" s="375"/>
      <c r="T104" s="375"/>
      <c r="U104" s="375"/>
      <c r="V104" s="375"/>
      <c r="W104" s="375"/>
      <c r="X104" s="375"/>
      <c r="Y104" s="375"/>
      <c r="Z104" s="375"/>
      <c r="AA104" s="375"/>
      <c r="AB104" s="375"/>
      <c r="AC104" s="396"/>
      <c r="AD104" s="360"/>
      <c r="AE104" s="360"/>
      <c r="AF104" s="360"/>
      <c r="AG104" s="360"/>
      <c r="AH104" s="360"/>
      <c r="AI104" s="360"/>
    </row>
    <row r="105" spans="1:35" hidden="1" x14ac:dyDescent="0.25">
      <c r="A105" s="390"/>
      <c r="B105" s="369"/>
      <c r="C105" s="369"/>
      <c r="D105" s="369" t="s">
        <v>676</v>
      </c>
      <c r="E105" s="382">
        <v>0.36499999999999999</v>
      </c>
      <c r="F105" s="383">
        <v>0.373</v>
      </c>
      <c r="G105" s="384">
        <v>0.377</v>
      </c>
      <c r="H105" s="421"/>
      <c r="I105" s="375"/>
      <c r="J105" s="375"/>
      <c r="K105" s="375"/>
      <c r="L105" s="375">
        <f>Table148[[#This Row],[Ambitious target 2030]]+Table148[[#This Row],[Ambitious target 2030]]*0.5</f>
        <v>0</v>
      </c>
      <c r="M105" s="375"/>
      <c r="N105" s="375"/>
      <c r="O105" s="375"/>
      <c r="P105" s="375"/>
      <c r="Q105" s="375">
        <f>Table148[[#This Row],[Red target]]-Table148[[#This Row],[Red target]]*0.5</f>
        <v>0</v>
      </c>
      <c r="R105" s="375"/>
      <c r="S105" s="375"/>
      <c r="T105" s="375"/>
      <c r="U105" s="375"/>
      <c r="V105" s="375"/>
      <c r="W105" s="375"/>
      <c r="X105" s="375"/>
      <c r="Y105" s="375"/>
      <c r="Z105" s="375"/>
      <c r="AA105" s="375"/>
      <c r="AB105" s="375"/>
      <c r="AC105" s="396"/>
      <c r="AD105" s="360"/>
      <c r="AE105" s="360"/>
      <c r="AF105" s="360"/>
      <c r="AG105" s="360"/>
      <c r="AH105" s="360"/>
      <c r="AI105" s="360"/>
    </row>
    <row r="106" spans="1:35" hidden="1" x14ac:dyDescent="0.25">
      <c r="A106" s="390"/>
      <c r="B106" s="369"/>
      <c r="C106" s="369"/>
      <c r="D106" s="369" t="s">
        <v>711</v>
      </c>
      <c r="E106" s="382">
        <v>0.39800000000000002</v>
      </c>
      <c r="F106" s="383">
        <v>0.40100000000000002</v>
      </c>
      <c r="G106" s="384">
        <v>0.40100000000000002</v>
      </c>
      <c r="H106" s="421"/>
      <c r="I106" s="375"/>
      <c r="J106" s="375"/>
      <c r="K106" s="375"/>
      <c r="L106" s="375">
        <f>Table148[[#This Row],[Ambitious target 2030]]+Table148[[#This Row],[Ambitious target 2030]]*0.5</f>
        <v>0</v>
      </c>
      <c r="M106" s="375"/>
      <c r="N106" s="375"/>
      <c r="O106" s="375"/>
      <c r="P106" s="375"/>
      <c r="Q106" s="375">
        <f>Table148[[#This Row],[Red target]]-Table148[[#This Row],[Red target]]*0.5</f>
        <v>0</v>
      </c>
      <c r="R106" s="375"/>
      <c r="S106" s="375"/>
      <c r="T106" s="375"/>
      <c r="U106" s="375"/>
      <c r="V106" s="375"/>
      <c r="W106" s="375"/>
      <c r="X106" s="375"/>
      <c r="Y106" s="375"/>
      <c r="Z106" s="375"/>
      <c r="AA106" s="375"/>
      <c r="AB106" s="375"/>
      <c r="AC106" s="396"/>
      <c r="AD106" s="360"/>
      <c r="AE106" s="360"/>
      <c r="AF106" s="360"/>
      <c r="AG106" s="360"/>
      <c r="AH106" s="360"/>
      <c r="AI106" s="360"/>
    </row>
    <row r="107" spans="1:35" hidden="1" x14ac:dyDescent="0.25">
      <c r="A107" s="390"/>
      <c r="B107" s="369"/>
      <c r="C107" s="369"/>
      <c r="D107" s="369" t="s">
        <v>718</v>
      </c>
      <c r="E107" s="382">
        <v>0.41799999999999998</v>
      </c>
      <c r="F107" s="383">
        <v>0.41399999999999998</v>
      </c>
      <c r="G107" s="384">
        <v>0.41299999999999998</v>
      </c>
      <c r="H107" s="421"/>
      <c r="I107" s="375"/>
      <c r="J107" s="375"/>
      <c r="K107" s="375"/>
      <c r="L107" s="375">
        <f>Table148[[#This Row],[Ambitious target 2030]]+Table148[[#This Row],[Ambitious target 2030]]*0.5</f>
        <v>0</v>
      </c>
      <c r="M107" s="375"/>
      <c r="N107" s="375"/>
      <c r="O107" s="375"/>
      <c r="P107" s="375"/>
      <c r="Q107" s="375">
        <f>Table148[[#This Row],[Red target]]-Table148[[#This Row],[Red target]]*0.5</f>
        <v>0</v>
      </c>
      <c r="R107" s="375"/>
      <c r="S107" s="375"/>
      <c r="T107" s="375"/>
      <c r="U107" s="375"/>
      <c r="V107" s="375"/>
      <c r="W107" s="375"/>
      <c r="X107" s="375"/>
      <c r="Y107" s="375"/>
      <c r="Z107" s="375"/>
      <c r="AA107" s="375"/>
      <c r="AB107" s="375"/>
      <c r="AC107" s="396"/>
      <c r="AD107" s="360"/>
      <c r="AE107" s="360"/>
      <c r="AF107" s="360"/>
      <c r="AG107" s="360"/>
      <c r="AH107" s="360"/>
      <c r="AI107" s="360"/>
    </row>
    <row r="108" spans="1:35" hidden="1" x14ac:dyDescent="0.25">
      <c r="A108" s="390"/>
      <c r="B108" s="369"/>
      <c r="C108" s="369"/>
      <c r="D108" s="369" t="s">
        <v>722</v>
      </c>
      <c r="E108" s="382">
        <v>0.42699999999999999</v>
      </c>
      <c r="F108" s="383">
        <v>0.42099999999999999</v>
      </c>
      <c r="G108" s="384">
        <v>0.42299999999999999</v>
      </c>
      <c r="H108" s="421"/>
      <c r="I108" s="375"/>
      <c r="J108" s="375"/>
      <c r="K108" s="375"/>
      <c r="L108" s="375">
        <f>Table148[[#This Row],[Ambitious target 2030]]+Table148[[#This Row],[Ambitious target 2030]]*0.5</f>
        <v>0</v>
      </c>
      <c r="M108" s="375"/>
      <c r="N108" s="375"/>
      <c r="O108" s="375"/>
      <c r="P108" s="375"/>
      <c r="Q108" s="375">
        <f>Table148[[#This Row],[Red target]]-Table148[[#This Row],[Red target]]*0.5</f>
        <v>0</v>
      </c>
      <c r="R108" s="375"/>
      <c r="S108" s="375"/>
      <c r="T108" s="375"/>
      <c r="U108" s="375"/>
      <c r="V108" s="375"/>
      <c r="W108" s="375"/>
      <c r="X108" s="375"/>
      <c r="Y108" s="375"/>
      <c r="Z108" s="375"/>
      <c r="AA108" s="375"/>
      <c r="AB108" s="375"/>
      <c r="AC108" s="396"/>
      <c r="AD108" s="360"/>
      <c r="AE108" s="360"/>
      <c r="AF108" s="360"/>
      <c r="AG108" s="360"/>
      <c r="AH108" s="360"/>
      <c r="AI108" s="360"/>
    </row>
    <row r="109" spans="1:35" hidden="1" x14ac:dyDescent="0.25">
      <c r="A109" s="390"/>
      <c r="B109" s="369"/>
      <c r="C109" s="369"/>
      <c r="D109" s="369" t="s">
        <v>710</v>
      </c>
      <c r="E109" s="382">
        <v>0.42</v>
      </c>
      <c r="F109" s="383">
        <v>0.42599999999999999</v>
      </c>
      <c r="G109" s="384">
        <v>0.42699999999999999</v>
      </c>
      <c r="H109" s="421"/>
      <c r="I109" s="375"/>
      <c r="J109" s="375"/>
      <c r="K109" s="375"/>
      <c r="L109" s="375">
        <f>Table148[[#This Row],[Ambitious target 2030]]+Table148[[#This Row],[Ambitious target 2030]]*0.5</f>
        <v>0</v>
      </c>
      <c r="M109" s="375"/>
      <c r="N109" s="375"/>
      <c r="O109" s="375"/>
      <c r="P109" s="375"/>
      <c r="Q109" s="375">
        <f>Table148[[#This Row],[Red target]]-Table148[[#This Row],[Red target]]*0.5</f>
        <v>0</v>
      </c>
      <c r="R109" s="375"/>
      <c r="S109" s="375"/>
      <c r="T109" s="375"/>
      <c r="U109" s="375"/>
      <c r="V109" s="375"/>
      <c r="W109" s="375"/>
      <c r="X109" s="375"/>
      <c r="Y109" s="375"/>
      <c r="Z109" s="375"/>
      <c r="AA109" s="375"/>
      <c r="AB109" s="375"/>
      <c r="AC109" s="396"/>
      <c r="AD109" s="360"/>
      <c r="AE109" s="360"/>
      <c r="AF109" s="360"/>
      <c r="AG109" s="360"/>
      <c r="AH109" s="360"/>
      <c r="AI109" s="360"/>
    </row>
    <row r="110" spans="1:35" s="386" customFormat="1" hidden="1" x14ac:dyDescent="0.25">
      <c r="A110" s="409"/>
      <c r="B110" s="406"/>
      <c r="C110" s="406"/>
      <c r="D110" s="406"/>
      <c r="E110" s="407">
        <v>2016</v>
      </c>
      <c r="F110" s="407">
        <v>2017</v>
      </c>
      <c r="G110" s="407">
        <v>2018</v>
      </c>
      <c r="H110" s="407"/>
      <c r="I110" s="407"/>
      <c r="J110" s="407"/>
      <c r="K110" s="407"/>
      <c r="L110" s="407">
        <f>Table148[[#This Row],[Ambitious target 2030]]+Table148[[#This Row],[Ambitious target 2030]]*0.5</f>
        <v>0</v>
      </c>
      <c r="M110" s="407"/>
      <c r="N110" s="407"/>
      <c r="O110" s="407"/>
      <c r="P110" s="407"/>
      <c r="Q110" s="407">
        <f>Table148[[#This Row],[Red target]]-Table148[[#This Row],[Red target]]*0.5</f>
        <v>0</v>
      </c>
      <c r="R110" s="407"/>
      <c r="S110" s="407"/>
      <c r="T110" s="407"/>
      <c r="U110" s="407"/>
      <c r="V110" s="407"/>
      <c r="W110" s="407"/>
      <c r="X110" s="407"/>
      <c r="Y110" s="407"/>
      <c r="Z110" s="407"/>
      <c r="AA110" s="407"/>
      <c r="AB110" s="407"/>
      <c r="AC110" s="413"/>
    </row>
    <row r="111" spans="1:35" x14ac:dyDescent="0.25">
      <c r="A111" s="418" t="s">
        <v>556</v>
      </c>
      <c r="B111" s="437" t="s">
        <v>552</v>
      </c>
      <c r="C111" s="437" t="s">
        <v>553</v>
      </c>
      <c r="D111" s="436" t="s">
        <v>904</v>
      </c>
      <c r="E111" s="420">
        <v>43.364129249999998</v>
      </c>
      <c r="F111" s="420">
        <v>42.457934940000001</v>
      </c>
      <c r="G111" s="420">
        <v>42.040219409999999</v>
      </c>
      <c r="H111" s="421">
        <v>2016</v>
      </c>
      <c r="I111" s="421">
        <v>43.364129249999998</v>
      </c>
      <c r="J111" s="421">
        <v>2015</v>
      </c>
      <c r="K111" s="411">
        <v>43.222799999999999</v>
      </c>
      <c r="L111" s="411">
        <f>Table148[[#This Row],[Ambitious target 2030]]+Table148[[#This Row],[Ambitious target 2030]]*0.5</f>
        <v>41.328599999999994</v>
      </c>
      <c r="M111" s="421">
        <f>AVERAGE(G117:G121)*10</f>
        <v>27.552399999999999</v>
      </c>
      <c r="N111" s="421"/>
      <c r="O111" s="421">
        <f>(M111-K111)*0.5+K111</f>
        <v>35.387599999999999</v>
      </c>
      <c r="P111" s="421">
        <f>(Table148[[#This Row],[Ambitious target 2030]]-Table148[[#This Row],[Model reference value]])*0.25+Table148[[#This Row],[Model reference value]]</f>
        <v>39.305199999999999</v>
      </c>
      <c r="Q111" s="421">
        <f>Table148[[#This Row],[Red target]]+Table148[[#This Row],[Red target]]*0.5</f>
        <v>64.834199999999996</v>
      </c>
      <c r="R111" s="421">
        <f>AVERAGE(G117:G121)*5</f>
        <v>13.776199999999999</v>
      </c>
      <c r="S111" s="421"/>
      <c r="T111" s="421">
        <f>(Table148[[#This Row],[Ambitious target 2050]]-Table148[[#This Row],[Model reference value]])*0.5+Table148[[#This Row],[Model reference value]]</f>
        <v>28.499499999999998</v>
      </c>
      <c r="U111" s="421">
        <f>(Table148[[#This Row],[Ambitious target 2050]]-Table148[[#This Row],[Model reference value]])*0.25+Table148[[#This Row],[Model reference value]]</f>
        <v>35.861150000000002</v>
      </c>
      <c r="V111" s="421">
        <v>0</v>
      </c>
      <c r="W111" s="421"/>
      <c r="X111" s="421">
        <f>(Table148[[#This Row],[Ambitious target 2100]]-Table148[[#This Row],[Model reference value]])*0.5+Table148[[#This Row],[Model reference value]]</f>
        <v>21.6114</v>
      </c>
      <c r="Y111" s="421">
        <f>(Table148[[#This Row],[Ambitious target 2100]]-Table148[[#This Row],[Model reference value]])*0.25+Table148[[#This Row],[Model reference value]]</f>
        <v>32.417099999999998</v>
      </c>
      <c r="Z111" s="421">
        <f>K111</f>
        <v>43.222799999999999</v>
      </c>
      <c r="AA111" s="421" t="s">
        <v>978</v>
      </c>
      <c r="AB111" s="421" t="s">
        <v>1171</v>
      </c>
      <c r="AC111" s="419" t="s">
        <v>707</v>
      </c>
      <c r="AD111" s="360"/>
      <c r="AE111" s="360"/>
      <c r="AF111" s="360"/>
      <c r="AG111" s="360"/>
      <c r="AH111" s="360"/>
      <c r="AI111" s="360"/>
    </row>
    <row r="112" spans="1:35" hidden="1" x14ac:dyDescent="0.25">
      <c r="A112" s="390"/>
      <c r="B112" s="369"/>
      <c r="C112" s="369"/>
      <c r="D112" s="369" t="s">
        <v>676</v>
      </c>
      <c r="E112" s="379">
        <v>189.37899999999999</v>
      </c>
      <c r="F112" s="380">
        <v>186.53800000000001</v>
      </c>
      <c r="G112" s="381">
        <v>183.51339999999999</v>
      </c>
      <c r="H112" s="421"/>
      <c r="I112" s="375"/>
      <c r="J112" s="375"/>
      <c r="K112" s="375"/>
      <c r="L112" s="375">
        <f>Table148[[#This Row],[Ambitious target 2030]]+Table148[[#This Row],[Ambitious target 2030]]*0.5</f>
        <v>0</v>
      </c>
      <c r="M112" s="375"/>
      <c r="N112" s="375"/>
      <c r="O112" s="375"/>
      <c r="P112" s="375"/>
      <c r="Q112" s="375">
        <f>Table148[[#This Row],[Red target]]-Table148[[#This Row],[Red target]]*0.5</f>
        <v>0</v>
      </c>
      <c r="R112" s="375"/>
      <c r="S112" s="375"/>
      <c r="T112" s="375"/>
      <c r="U112" s="375"/>
      <c r="V112" s="375"/>
      <c r="W112" s="375"/>
      <c r="X112" s="375"/>
      <c r="Y112" s="375"/>
      <c r="Z112" s="375"/>
      <c r="AA112" s="375"/>
      <c r="AB112" s="375"/>
      <c r="AC112" s="396"/>
      <c r="AD112" s="360"/>
      <c r="AE112" s="360"/>
      <c r="AF112" s="360"/>
      <c r="AG112" s="360"/>
      <c r="AH112" s="360"/>
      <c r="AI112" s="360"/>
    </row>
    <row r="113" spans="1:35" hidden="1" x14ac:dyDescent="0.25">
      <c r="A113" s="390"/>
      <c r="B113" s="369"/>
      <c r="C113" s="369"/>
      <c r="D113" s="369" t="s">
        <v>710</v>
      </c>
      <c r="E113" s="379">
        <v>171.08260000000001</v>
      </c>
      <c r="F113" s="380">
        <v>169.12700000000001</v>
      </c>
      <c r="G113" s="381">
        <v>166.86680000000001</v>
      </c>
      <c r="H113" s="421"/>
      <c r="I113" s="375"/>
      <c r="J113" s="375"/>
      <c r="K113" s="375"/>
      <c r="L113" s="375">
        <f>Table148[[#This Row],[Ambitious target 2030]]+Table148[[#This Row],[Ambitious target 2030]]*0.5</f>
        <v>0</v>
      </c>
      <c r="M113" s="375"/>
      <c r="N113" s="375"/>
      <c r="O113" s="375"/>
      <c r="P113" s="375"/>
      <c r="Q113" s="375">
        <f>Table148[[#This Row],[Red target]]-Table148[[#This Row],[Red target]]*0.5</f>
        <v>0</v>
      </c>
      <c r="R113" s="375"/>
      <c r="S113" s="375"/>
      <c r="T113" s="375"/>
      <c r="U113" s="375"/>
      <c r="V113" s="375"/>
      <c r="W113" s="375"/>
      <c r="X113" s="375"/>
      <c r="Y113" s="375"/>
      <c r="Z113" s="375"/>
      <c r="AA113" s="375"/>
      <c r="AB113" s="375"/>
      <c r="AC113" s="396"/>
      <c r="AD113" s="360"/>
      <c r="AE113" s="360"/>
      <c r="AF113" s="360"/>
      <c r="AG113" s="360"/>
      <c r="AH113" s="360"/>
      <c r="AI113" s="360"/>
    </row>
    <row r="114" spans="1:35" hidden="1" x14ac:dyDescent="0.25">
      <c r="A114" s="390"/>
      <c r="B114" s="369"/>
      <c r="C114" s="369"/>
      <c r="D114" s="369" t="s">
        <v>711</v>
      </c>
      <c r="E114" s="379">
        <v>164.51599999999999</v>
      </c>
      <c r="F114" s="380">
        <v>161.09</v>
      </c>
      <c r="G114" s="381">
        <v>157.9144</v>
      </c>
      <c r="H114" s="421"/>
      <c r="I114" s="375"/>
      <c r="J114" s="375"/>
      <c r="K114" s="375"/>
      <c r="L114" s="375">
        <f>Table148[[#This Row],[Ambitious target 2030]]+Table148[[#This Row],[Ambitious target 2030]]*0.5</f>
        <v>0</v>
      </c>
      <c r="M114" s="375"/>
      <c r="N114" s="375"/>
      <c r="O114" s="375"/>
      <c r="P114" s="375"/>
      <c r="Q114" s="375">
        <f>Table148[[#This Row],[Red target]]-Table148[[#This Row],[Red target]]*0.5</f>
        <v>0</v>
      </c>
      <c r="R114" s="375"/>
      <c r="S114" s="375"/>
      <c r="T114" s="375"/>
      <c r="U114" s="375"/>
      <c r="V114" s="375"/>
      <c r="W114" s="375"/>
      <c r="X114" s="375"/>
      <c r="Y114" s="375"/>
      <c r="Z114" s="375"/>
      <c r="AA114" s="375"/>
      <c r="AB114" s="375"/>
      <c r="AC114" s="396"/>
      <c r="AD114" s="360"/>
      <c r="AE114" s="360"/>
      <c r="AF114" s="360"/>
      <c r="AG114" s="360"/>
      <c r="AH114" s="360"/>
      <c r="AI114" s="360"/>
    </row>
    <row r="115" spans="1:35" hidden="1" x14ac:dyDescent="0.25">
      <c r="A115" s="390"/>
      <c r="B115" s="369"/>
      <c r="C115" s="369"/>
      <c r="D115" s="369" t="s">
        <v>712</v>
      </c>
      <c r="E115" s="379">
        <v>150.72980000000001</v>
      </c>
      <c r="F115" s="380">
        <v>148.626</v>
      </c>
      <c r="G115" s="381">
        <v>146.2508</v>
      </c>
      <c r="H115" s="421"/>
      <c r="I115" s="375"/>
      <c r="J115" s="375"/>
      <c r="K115" s="375"/>
      <c r="L115" s="375">
        <f>Table148[[#This Row],[Ambitious target 2030]]+Table148[[#This Row],[Ambitious target 2030]]*0.5</f>
        <v>0</v>
      </c>
      <c r="M115" s="375"/>
      <c r="N115" s="375"/>
      <c r="O115" s="375"/>
      <c r="P115" s="375"/>
      <c r="Q115" s="375">
        <f>Table148[[#This Row],[Red target]]-Table148[[#This Row],[Red target]]*0.5</f>
        <v>0</v>
      </c>
      <c r="R115" s="375"/>
      <c r="S115" s="375"/>
      <c r="T115" s="375"/>
      <c r="U115" s="375"/>
      <c r="V115" s="375"/>
      <c r="W115" s="375"/>
      <c r="X115" s="375"/>
      <c r="Y115" s="375"/>
      <c r="Z115" s="375"/>
      <c r="AA115" s="375"/>
      <c r="AB115" s="375"/>
      <c r="AC115" s="396"/>
      <c r="AD115" s="360"/>
      <c r="AE115" s="360"/>
      <c r="AF115" s="360"/>
      <c r="AG115" s="360"/>
      <c r="AH115" s="360"/>
      <c r="AI115" s="360"/>
    </row>
    <row r="116" spans="1:35" hidden="1" x14ac:dyDescent="0.25">
      <c r="A116" s="390"/>
      <c r="B116" s="369"/>
      <c r="C116" s="369"/>
      <c r="D116" s="369" t="s">
        <v>713</v>
      </c>
      <c r="E116" s="379">
        <v>136.578</v>
      </c>
      <c r="F116" s="380">
        <v>135.96199999999999</v>
      </c>
      <c r="G116" s="381">
        <v>135.56620000000001</v>
      </c>
      <c r="H116" s="421"/>
      <c r="I116" s="375"/>
      <c r="J116" s="375"/>
      <c r="K116" s="375"/>
      <c r="L116" s="375">
        <f>Table148[[#This Row],[Ambitious target 2030]]+Table148[[#This Row],[Ambitious target 2030]]*0.5</f>
        <v>0</v>
      </c>
      <c r="M116" s="375"/>
      <c r="N116" s="375"/>
      <c r="O116" s="375"/>
      <c r="P116" s="375"/>
      <c r="Q116" s="375">
        <f>Table148[[#This Row],[Red target]]-Table148[[#This Row],[Red target]]*0.5</f>
        <v>0</v>
      </c>
      <c r="R116" s="375"/>
      <c r="S116" s="375"/>
      <c r="T116" s="375"/>
      <c r="U116" s="375"/>
      <c r="V116" s="375"/>
      <c r="W116" s="375"/>
      <c r="X116" s="375"/>
      <c r="Y116" s="375"/>
      <c r="Z116" s="375"/>
      <c r="AA116" s="375"/>
      <c r="AB116" s="375"/>
      <c r="AC116" s="396"/>
      <c r="AD116" s="360"/>
      <c r="AE116" s="360"/>
      <c r="AF116" s="360"/>
      <c r="AG116" s="360"/>
      <c r="AH116" s="360"/>
      <c r="AI116" s="360"/>
    </row>
    <row r="117" spans="1:35" hidden="1" x14ac:dyDescent="0.25">
      <c r="A117" s="390"/>
      <c r="B117" s="369"/>
      <c r="C117" s="369"/>
      <c r="D117" s="369" t="s">
        <v>696</v>
      </c>
      <c r="E117" s="382">
        <v>1.4563999999999999</v>
      </c>
      <c r="F117" s="383">
        <v>1.379</v>
      </c>
      <c r="G117" s="384">
        <v>1.3204</v>
      </c>
      <c r="H117" s="421"/>
      <c r="I117" s="375"/>
      <c r="J117" s="375"/>
      <c r="K117" s="375"/>
      <c r="L117" s="375">
        <f>Table148[[#This Row],[Ambitious target 2030]]+Table148[[#This Row],[Ambitious target 2030]]*0.5</f>
        <v>0</v>
      </c>
      <c r="M117" s="375"/>
      <c r="N117" s="375"/>
      <c r="O117" s="375"/>
      <c r="P117" s="375"/>
      <c r="Q117" s="375">
        <f>Table148[[#This Row],[Red target]]-Table148[[#This Row],[Red target]]*0.5</f>
        <v>0</v>
      </c>
      <c r="R117" s="375"/>
      <c r="S117" s="375"/>
      <c r="T117" s="375"/>
      <c r="U117" s="375"/>
      <c r="V117" s="375"/>
      <c r="W117" s="375"/>
      <c r="X117" s="375"/>
      <c r="Y117" s="375"/>
      <c r="Z117" s="375"/>
      <c r="AA117" s="375"/>
      <c r="AB117" s="375"/>
      <c r="AC117" s="396"/>
      <c r="AD117" s="360"/>
      <c r="AE117" s="360"/>
      <c r="AF117" s="360"/>
      <c r="AG117" s="360"/>
      <c r="AH117" s="360"/>
      <c r="AI117" s="360"/>
    </row>
    <row r="118" spans="1:35" hidden="1" x14ac:dyDescent="0.25">
      <c r="A118" s="390"/>
      <c r="B118" s="369"/>
      <c r="C118" s="369"/>
      <c r="D118" s="369" t="s">
        <v>700</v>
      </c>
      <c r="E118" s="382">
        <v>2.911</v>
      </c>
      <c r="F118" s="383">
        <v>2.7629999999999999</v>
      </c>
      <c r="G118" s="384">
        <v>2.6438000000000001</v>
      </c>
      <c r="H118" s="421"/>
      <c r="I118" s="375"/>
      <c r="J118" s="375"/>
      <c r="K118" s="375"/>
      <c r="L118" s="375">
        <f>Table148[[#This Row],[Ambitious target 2030]]+Table148[[#This Row],[Ambitious target 2030]]*0.5</f>
        <v>0</v>
      </c>
      <c r="M118" s="375"/>
      <c r="N118" s="375"/>
      <c r="O118" s="375"/>
      <c r="P118" s="375"/>
      <c r="Q118" s="375">
        <f>Table148[[#This Row],[Red target]]-Table148[[#This Row],[Red target]]*0.5</f>
        <v>0</v>
      </c>
      <c r="R118" s="375"/>
      <c r="S118" s="375"/>
      <c r="T118" s="375"/>
      <c r="U118" s="375"/>
      <c r="V118" s="375"/>
      <c r="W118" s="375"/>
      <c r="X118" s="375"/>
      <c r="Y118" s="375"/>
      <c r="Z118" s="375"/>
      <c r="AA118" s="375"/>
      <c r="AB118" s="375"/>
      <c r="AC118" s="396"/>
      <c r="AD118" s="360"/>
      <c r="AE118" s="360"/>
      <c r="AF118" s="360"/>
      <c r="AG118" s="360"/>
      <c r="AH118" s="360"/>
      <c r="AI118" s="360"/>
    </row>
    <row r="119" spans="1:35" hidden="1" x14ac:dyDescent="0.25">
      <c r="A119" s="390"/>
      <c r="B119" s="369"/>
      <c r="C119" s="369"/>
      <c r="D119" s="369" t="s">
        <v>708</v>
      </c>
      <c r="E119" s="382">
        <v>2.7682000000000002</v>
      </c>
      <c r="F119" s="383">
        <v>2.7050000000000001</v>
      </c>
      <c r="G119" s="384">
        <v>2.6461999999999999</v>
      </c>
      <c r="H119" s="421"/>
      <c r="I119" s="375"/>
      <c r="J119" s="375"/>
      <c r="K119" s="375"/>
      <c r="L119" s="375">
        <f>Table148[[#This Row],[Ambitious target 2030]]+Table148[[#This Row],[Ambitious target 2030]]*0.5</f>
        <v>0</v>
      </c>
      <c r="M119" s="375"/>
      <c r="N119" s="375"/>
      <c r="O119" s="375"/>
      <c r="P119" s="375"/>
      <c r="Q119" s="375">
        <f>Table148[[#This Row],[Red target]]-Table148[[#This Row],[Red target]]*0.5</f>
        <v>0</v>
      </c>
      <c r="R119" s="375"/>
      <c r="S119" s="375"/>
      <c r="T119" s="375"/>
      <c r="U119" s="375"/>
      <c r="V119" s="375"/>
      <c r="W119" s="375"/>
      <c r="X119" s="375"/>
      <c r="Y119" s="375"/>
      <c r="Z119" s="375"/>
      <c r="AA119" s="375"/>
      <c r="AB119" s="375"/>
      <c r="AC119" s="396"/>
      <c r="AD119" s="360"/>
      <c r="AE119" s="360"/>
      <c r="AF119" s="360"/>
      <c r="AG119" s="360"/>
      <c r="AH119" s="360"/>
      <c r="AI119" s="360"/>
    </row>
    <row r="120" spans="1:35" hidden="1" x14ac:dyDescent="0.25">
      <c r="A120" s="390"/>
      <c r="B120" s="369"/>
      <c r="C120" s="369"/>
      <c r="D120" s="369" t="s">
        <v>702</v>
      </c>
      <c r="E120" s="382">
        <v>3.6057999999999999</v>
      </c>
      <c r="F120" s="383">
        <v>3.53</v>
      </c>
      <c r="G120" s="384">
        <v>3.5133999999999999</v>
      </c>
      <c r="H120" s="421"/>
      <c r="I120" s="375"/>
      <c r="J120" s="375"/>
      <c r="K120" s="375"/>
      <c r="L120" s="375">
        <f>Table148[[#This Row],[Ambitious target 2030]]+Table148[[#This Row],[Ambitious target 2030]]*0.5</f>
        <v>0</v>
      </c>
      <c r="M120" s="375"/>
      <c r="N120" s="375"/>
      <c r="O120" s="375"/>
      <c r="P120" s="375"/>
      <c r="Q120" s="375">
        <f>Table148[[#This Row],[Red target]]-Table148[[#This Row],[Red target]]*0.5</f>
        <v>0</v>
      </c>
      <c r="R120" s="375"/>
      <c r="S120" s="375"/>
      <c r="T120" s="375"/>
      <c r="U120" s="375"/>
      <c r="V120" s="375"/>
      <c r="W120" s="375"/>
      <c r="X120" s="375"/>
      <c r="Y120" s="375"/>
      <c r="Z120" s="375"/>
      <c r="AA120" s="375"/>
      <c r="AB120" s="375"/>
      <c r="AC120" s="396"/>
      <c r="AD120" s="360"/>
      <c r="AE120" s="360"/>
      <c r="AF120" s="360"/>
      <c r="AG120" s="360"/>
      <c r="AH120" s="360"/>
      <c r="AI120" s="360"/>
    </row>
    <row r="121" spans="1:35" hidden="1" x14ac:dyDescent="0.25">
      <c r="A121" s="390"/>
      <c r="B121" s="369"/>
      <c r="C121" s="369"/>
      <c r="D121" s="369" t="s">
        <v>709</v>
      </c>
      <c r="E121" s="382">
        <v>3.9668000000000001</v>
      </c>
      <c r="F121" s="383">
        <v>3.7759999999999998</v>
      </c>
      <c r="G121" s="384">
        <v>3.6524000000000001</v>
      </c>
      <c r="H121" s="421"/>
      <c r="I121" s="375"/>
      <c r="J121" s="375"/>
      <c r="K121" s="375"/>
      <c r="L121" s="375">
        <f>Table148[[#This Row],[Ambitious target 2030]]+Table148[[#This Row],[Ambitious target 2030]]*0.5</f>
        <v>0</v>
      </c>
      <c r="M121" s="375"/>
      <c r="N121" s="375"/>
      <c r="O121" s="375"/>
      <c r="P121" s="375"/>
      <c r="Q121" s="375">
        <f>Table148[[#This Row],[Red target]]-Table148[[#This Row],[Red target]]*0.5</f>
        <v>0</v>
      </c>
      <c r="R121" s="375"/>
      <c r="S121" s="375"/>
      <c r="T121" s="375"/>
      <c r="U121" s="375"/>
      <c r="V121" s="375"/>
      <c r="W121" s="375"/>
      <c r="X121" s="375"/>
      <c r="Y121" s="375"/>
      <c r="Z121" s="375"/>
      <c r="AA121" s="375"/>
      <c r="AB121" s="375"/>
      <c r="AC121" s="396"/>
      <c r="AD121" s="360"/>
      <c r="AE121" s="360"/>
      <c r="AF121" s="360"/>
      <c r="AG121" s="360"/>
      <c r="AH121" s="360"/>
      <c r="AI121" s="360"/>
    </row>
    <row r="122" spans="1:35" s="386" customFormat="1" hidden="1" x14ac:dyDescent="0.25">
      <c r="A122" s="409"/>
      <c r="B122" s="406"/>
      <c r="C122" s="406"/>
      <c r="D122" s="406"/>
      <c r="E122" s="407">
        <v>2016</v>
      </c>
      <c r="F122" s="407">
        <v>2017</v>
      </c>
      <c r="G122" s="407">
        <v>2018</v>
      </c>
      <c r="H122" s="407"/>
      <c r="I122" s="407"/>
      <c r="J122" s="407"/>
      <c r="K122" s="407"/>
      <c r="L122" s="407">
        <f>Table148[[#This Row],[Ambitious target 2030]]+Table148[[#This Row],[Ambitious target 2030]]*0.5</f>
        <v>0</v>
      </c>
      <c r="M122" s="407"/>
      <c r="N122" s="407"/>
      <c r="O122" s="407"/>
      <c r="P122" s="407"/>
      <c r="Q122" s="407">
        <f>Table148[[#This Row],[Red target]]-Table148[[#This Row],[Red target]]*0.5</f>
        <v>0</v>
      </c>
      <c r="R122" s="407"/>
      <c r="S122" s="407"/>
      <c r="T122" s="407"/>
      <c r="U122" s="407"/>
      <c r="V122" s="407"/>
      <c r="W122" s="407"/>
      <c r="X122" s="407"/>
      <c r="Y122" s="407"/>
      <c r="Z122" s="407"/>
      <c r="AA122" s="407"/>
      <c r="AB122" s="407"/>
      <c r="AC122" s="413"/>
    </row>
    <row r="123" spans="1:35" x14ac:dyDescent="0.25">
      <c r="A123" s="418" t="s">
        <v>559</v>
      </c>
      <c r="B123" s="437" t="s">
        <v>917</v>
      </c>
      <c r="C123" s="437" t="s">
        <v>473</v>
      </c>
      <c r="D123" s="436" t="s">
        <v>904</v>
      </c>
      <c r="E123" s="420">
        <v>17.364519999999999</v>
      </c>
      <c r="F123" s="420">
        <v>17.212980000000002</v>
      </c>
      <c r="G123" s="420">
        <v>17.122129999999999</v>
      </c>
      <c r="H123" s="421">
        <v>2016</v>
      </c>
      <c r="I123" s="421">
        <v>17.364519999999999</v>
      </c>
      <c r="J123" s="421">
        <v>2015</v>
      </c>
      <c r="K123" s="411">
        <v>15.093299999999999</v>
      </c>
      <c r="L123" s="411">
        <f>Table148[[#This Row],[Ambitious target 2030]]+Table148[[#This Row],[Ambitious target 2030]]*0.5</f>
        <v>13.023389999999999</v>
      </c>
      <c r="M123" s="421">
        <f>Table148[[#This Row],[Data reference value]]*0.5</f>
        <v>8.6822599999999994</v>
      </c>
      <c r="N123" s="421"/>
      <c r="O123" s="421">
        <f>(M123-K123)*0.5+K123</f>
        <v>11.887779999999999</v>
      </c>
      <c r="P123" s="421">
        <f>(Table148[[#This Row],[Ambitious target 2030]]-Table148[[#This Row],[Model reference value]])*0.25+Table148[[#This Row],[Model reference value]]</f>
        <v>13.490539999999999</v>
      </c>
      <c r="Q123" s="421">
        <f>Table148[[#This Row],[Red target]]+Table148[[#This Row],[Red target]]*0.5</f>
        <v>22.639949999999999</v>
      </c>
      <c r="R123" s="421">
        <f>Table148[[#This Row],[Data reference value]]*0.2</f>
        <v>3.4729039999999998</v>
      </c>
      <c r="S123" s="421"/>
      <c r="T123" s="421">
        <f>(Table148[[#This Row],[Ambitious target 2050]]-Table148[[#This Row],[Model reference value]])*0.5+Table148[[#This Row],[Model reference value]]</f>
        <v>9.2831019999999995</v>
      </c>
      <c r="U123" s="421">
        <f>(Table148[[#This Row],[Ambitious target 2050]]-Table148[[#This Row],[Model reference value]])*0.25+Table148[[#This Row],[Model reference value]]</f>
        <v>12.188200999999999</v>
      </c>
      <c r="V123" s="421">
        <v>0</v>
      </c>
      <c r="W123" s="421"/>
      <c r="X123" s="421">
        <f>(Table148[[#This Row],[Ambitious target 2100]]-Table148[[#This Row],[Model reference value]])*0.5+Table148[[#This Row],[Model reference value]]</f>
        <v>7.5466499999999996</v>
      </c>
      <c r="Y123" s="421">
        <f>(Table148[[#This Row],[Ambitious target 2100]]-Table148[[#This Row],[Model reference value]])*0.25+Table148[[#This Row],[Model reference value]]</f>
        <v>11.319974999999999</v>
      </c>
      <c r="Z123" s="421">
        <f>K123</f>
        <v>15.093299999999999</v>
      </c>
      <c r="AA123" s="421" t="s">
        <v>982</v>
      </c>
      <c r="AB123" s="421" t="s">
        <v>1172</v>
      </c>
      <c r="AC123" s="419" t="s">
        <v>783</v>
      </c>
      <c r="AD123" s="360"/>
      <c r="AE123" s="360"/>
      <c r="AF123" s="360"/>
      <c r="AG123" s="360"/>
      <c r="AH123" s="360"/>
      <c r="AI123" s="360"/>
    </row>
    <row r="124" spans="1:35" hidden="1" x14ac:dyDescent="0.25">
      <c r="A124" s="390"/>
      <c r="B124" s="369"/>
      <c r="C124" s="369"/>
      <c r="D124" s="369" t="s">
        <v>710</v>
      </c>
      <c r="E124" s="379">
        <v>45.827199999999998</v>
      </c>
      <c r="F124" s="380">
        <v>45.563699999999997</v>
      </c>
      <c r="G124" s="381">
        <v>50.707900000000002</v>
      </c>
      <c r="H124" s="421"/>
      <c r="I124" s="375"/>
      <c r="J124" s="375"/>
      <c r="K124" s="375"/>
      <c r="L124" s="375">
        <f>Table148[[#This Row],[Ambitious target 2030]]+Table148[[#This Row],[Ambitious target 2030]]*0.5</f>
        <v>0</v>
      </c>
      <c r="M124" s="375"/>
      <c r="N124" s="375"/>
      <c r="O124" s="375"/>
      <c r="P124" s="375"/>
      <c r="Q124" s="375">
        <f>Table148[[#This Row],[Red target]]-Table148[[#This Row],[Red target]]*0.5</f>
        <v>0</v>
      </c>
      <c r="R124" s="375"/>
      <c r="S124" s="375"/>
      <c r="T124" s="375"/>
      <c r="U124" s="375"/>
      <c r="V124" s="375"/>
      <c r="W124" s="375"/>
      <c r="X124" s="375"/>
      <c r="Y124" s="375"/>
      <c r="Z124" s="375"/>
      <c r="AA124" s="375"/>
      <c r="AB124" s="375"/>
      <c r="AC124" s="396"/>
      <c r="AD124" s="360"/>
      <c r="AE124" s="360"/>
      <c r="AF124" s="360"/>
      <c r="AG124" s="360"/>
      <c r="AH124" s="360"/>
      <c r="AI124" s="360"/>
    </row>
    <row r="125" spans="1:35" hidden="1" x14ac:dyDescent="0.25">
      <c r="A125" s="390"/>
      <c r="B125" s="369"/>
      <c r="C125" s="369"/>
      <c r="D125" s="369" t="s">
        <v>785</v>
      </c>
      <c r="E125" s="379">
        <v>0</v>
      </c>
      <c r="F125" s="380">
        <v>44.997500000000002</v>
      </c>
      <c r="G125" s="381">
        <v>44.901299999999999</v>
      </c>
      <c r="H125" s="421"/>
      <c r="I125" s="375"/>
      <c r="J125" s="375"/>
      <c r="K125" s="375"/>
      <c r="L125" s="375">
        <f>Table148[[#This Row],[Ambitious target 2030]]+Table148[[#This Row],[Ambitious target 2030]]*0.5</f>
        <v>0</v>
      </c>
      <c r="M125" s="375"/>
      <c r="N125" s="375"/>
      <c r="O125" s="375"/>
      <c r="P125" s="375"/>
      <c r="Q125" s="375">
        <f>Table148[[#This Row],[Red target]]-Table148[[#This Row],[Red target]]*0.5</f>
        <v>0</v>
      </c>
      <c r="R125" s="375"/>
      <c r="S125" s="375"/>
      <c r="T125" s="375"/>
      <c r="U125" s="375"/>
      <c r="V125" s="375"/>
      <c r="W125" s="375"/>
      <c r="X125" s="375"/>
      <c r="Y125" s="375"/>
      <c r="Z125" s="375"/>
      <c r="AA125" s="375"/>
      <c r="AB125" s="375"/>
      <c r="AC125" s="396"/>
      <c r="AD125" s="360"/>
      <c r="AE125" s="360"/>
      <c r="AF125" s="360"/>
      <c r="AG125" s="360"/>
      <c r="AH125" s="360"/>
      <c r="AI125" s="360"/>
    </row>
    <row r="126" spans="1:35" hidden="1" x14ac:dyDescent="0.25">
      <c r="A126" s="390"/>
      <c r="B126" s="369"/>
      <c r="C126" s="369"/>
      <c r="D126" s="369" t="s">
        <v>782</v>
      </c>
      <c r="E126" s="379">
        <v>40.0608</v>
      </c>
      <c r="F126" s="380">
        <v>38.498800000000003</v>
      </c>
      <c r="G126" s="381">
        <v>36.266800000000003</v>
      </c>
      <c r="H126" s="421"/>
      <c r="I126" s="375"/>
      <c r="J126" s="375"/>
      <c r="K126" s="375"/>
      <c r="L126" s="375">
        <f>Table148[[#This Row],[Ambitious target 2030]]+Table148[[#This Row],[Ambitious target 2030]]*0.5</f>
        <v>0</v>
      </c>
      <c r="M126" s="375"/>
      <c r="N126" s="375"/>
      <c r="O126" s="375"/>
      <c r="P126" s="375"/>
      <c r="Q126" s="375">
        <f>Table148[[#This Row],[Red target]]-Table148[[#This Row],[Red target]]*0.5</f>
        <v>0</v>
      </c>
      <c r="R126" s="375"/>
      <c r="S126" s="375"/>
      <c r="T126" s="375"/>
      <c r="U126" s="375"/>
      <c r="V126" s="375"/>
      <c r="W126" s="375"/>
      <c r="X126" s="375"/>
      <c r="Y126" s="375"/>
      <c r="Z126" s="375"/>
      <c r="AA126" s="375"/>
      <c r="AB126" s="375"/>
      <c r="AC126" s="396"/>
      <c r="AD126" s="360"/>
      <c r="AE126" s="360"/>
      <c r="AF126" s="360"/>
      <c r="AG126" s="360"/>
      <c r="AH126" s="360"/>
      <c r="AI126" s="360"/>
    </row>
    <row r="127" spans="1:35" hidden="1" x14ac:dyDescent="0.25">
      <c r="A127" s="390"/>
      <c r="B127" s="369"/>
      <c r="C127" s="369"/>
      <c r="D127" s="369" t="s">
        <v>786</v>
      </c>
      <c r="E127" s="379">
        <v>38.089700000000001</v>
      </c>
      <c r="F127" s="380">
        <v>38.241799999999998</v>
      </c>
      <c r="G127" s="381">
        <v>35.1815</v>
      </c>
      <c r="H127" s="421"/>
      <c r="I127" s="375"/>
      <c r="J127" s="375"/>
      <c r="K127" s="375"/>
      <c r="L127" s="375">
        <f>Table148[[#This Row],[Ambitious target 2030]]+Table148[[#This Row],[Ambitious target 2030]]*0.5</f>
        <v>0</v>
      </c>
      <c r="M127" s="375"/>
      <c r="N127" s="375"/>
      <c r="O127" s="375"/>
      <c r="P127" s="375"/>
      <c r="Q127" s="375">
        <f>Table148[[#This Row],[Red target]]-Table148[[#This Row],[Red target]]*0.5</f>
        <v>0</v>
      </c>
      <c r="R127" s="375"/>
      <c r="S127" s="375"/>
      <c r="T127" s="375"/>
      <c r="U127" s="375"/>
      <c r="V127" s="375"/>
      <c r="W127" s="375"/>
      <c r="X127" s="375"/>
      <c r="Y127" s="375"/>
      <c r="Z127" s="375"/>
      <c r="AA127" s="375"/>
      <c r="AB127" s="375"/>
      <c r="AC127" s="396"/>
      <c r="AD127" s="360"/>
      <c r="AE127" s="360"/>
      <c r="AF127" s="360"/>
      <c r="AG127" s="360"/>
      <c r="AH127" s="360"/>
      <c r="AI127" s="360"/>
    </row>
    <row r="128" spans="1:35" hidden="1" x14ac:dyDescent="0.25">
      <c r="A128" s="390"/>
      <c r="B128" s="369"/>
      <c r="C128" s="369"/>
      <c r="D128" s="369" t="s">
        <v>781</v>
      </c>
      <c r="E128" s="379">
        <v>40.281599999999997</v>
      </c>
      <c r="F128" s="380">
        <v>37.007899999999999</v>
      </c>
      <c r="G128" s="381">
        <v>33.8459</v>
      </c>
      <c r="H128" s="421"/>
      <c r="I128" s="375"/>
      <c r="J128" s="375"/>
      <c r="K128" s="375"/>
      <c r="L128" s="375">
        <f>Table148[[#This Row],[Ambitious target 2030]]+Table148[[#This Row],[Ambitious target 2030]]*0.5</f>
        <v>0</v>
      </c>
      <c r="M128" s="375"/>
      <c r="N128" s="375"/>
      <c r="O128" s="375"/>
      <c r="P128" s="375"/>
      <c r="Q128" s="375">
        <f>Table148[[#This Row],[Red target]]-Table148[[#This Row],[Red target]]*0.5</f>
        <v>0</v>
      </c>
      <c r="R128" s="375"/>
      <c r="S128" s="375"/>
      <c r="T128" s="375"/>
      <c r="U128" s="375"/>
      <c r="V128" s="375"/>
      <c r="W128" s="375"/>
      <c r="X128" s="375"/>
      <c r="Y128" s="375"/>
      <c r="Z128" s="375"/>
      <c r="AA128" s="375"/>
      <c r="AB128" s="375"/>
      <c r="AC128" s="396"/>
      <c r="AD128" s="360"/>
      <c r="AE128" s="360"/>
      <c r="AF128" s="360"/>
      <c r="AG128" s="360"/>
      <c r="AH128" s="360"/>
      <c r="AI128" s="360"/>
    </row>
    <row r="129" spans="1:35" hidden="1" x14ac:dyDescent="0.25">
      <c r="A129" s="390"/>
      <c r="B129" s="369"/>
      <c r="C129" s="369"/>
      <c r="D129" s="369" t="s">
        <v>702</v>
      </c>
      <c r="E129" s="382">
        <v>4.7800000000000002E-2</v>
      </c>
      <c r="F129" s="383">
        <v>4.9700000000000001E-2</v>
      </c>
      <c r="G129" s="384"/>
      <c r="H129" s="421"/>
      <c r="I129" s="375"/>
      <c r="J129" s="375"/>
      <c r="K129" s="375"/>
      <c r="L129" s="375">
        <f>Table148[[#This Row],[Ambitious target 2030]]+Table148[[#This Row],[Ambitious target 2030]]*0.5</f>
        <v>0</v>
      </c>
      <c r="M129" s="375"/>
      <c r="N129" s="375"/>
      <c r="O129" s="375"/>
      <c r="P129" s="375"/>
      <c r="Q129" s="375">
        <f>Table148[[#This Row],[Red target]]-Table148[[#This Row],[Red target]]*0.5</f>
        <v>0</v>
      </c>
      <c r="R129" s="375"/>
      <c r="S129" s="375"/>
      <c r="T129" s="375"/>
      <c r="U129" s="375"/>
      <c r="V129" s="375"/>
      <c r="W129" s="375"/>
      <c r="X129" s="375"/>
      <c r="Y129" s="375"/>
      <c r="Z129" s="375"/>
      <c r="AA129" s="375"/>
      <c r="AB129" s="375"/>
      <c r="AC129" s="396"/>
      <c r="AD129" s="360"/>
      <c r="AE129" s="360"/>
      <c r="AF129" s="360"/>
      <c r="AG129" s="360"/>
      <c r="AH129" s="360"/>
      <c r="AI129" s="360"/>
    </row>
    <row r="130" spans="1:35" hidden="1" x14ac:dyDescent="0.25">
      <c r="A130" s="390"/>
      <c r="B130" s="369"/>
      <c r="C130" s="369"/>
      <c r="D130" s="369" t="s">
        <v>681</v>
      </c>
      <c r="E130" s="382">
        <v>0.15859999999999999</v>
      </c>
      <c r="F130" s="383">
        <v>0.216</v>
      </c>
      <c r="G130" s="384"/>
      <c r="H130" s="421"/>
      <c r="I130" s="375"/>
      <c r="J130" s="375"/>
      <c r="K130" s="375"/>
      <c r="L130" s="375">
        <f>Table148[[#This Row],[Ambitious target 2030]]+Table148[[#This Row],[Ambitious target 2030]]*0.5</f>
        <v>0</v>
      </c>
      <c r="M130" s="375"/>
      <c r="N130" s="375"/>
      <c r="O130" s="375"/>
      <c r="P130" s="375"/>
      <c r="Q130" s="375">
        <f>Table148[[#This Row],[Red target]]-Table148[[#This Row],[Red target]]*0.5</f>
        <v>0</v>
      </c>
      <c r="R130" s="375"/>
      <c r="S130" s="375"/>
      <c r="T130" s="375"/>
      <c r="U130" s="375"/>
      <c r="V130" s="375"/>
      <c r="W130" s="375"/>
      <c r="X130" s="375"/>
      <c r="Y130" s="375"/>
      <c r="Z130" s="375"/>
      <c r="AA130" s="375"/>
      <c r="AB130" s="375"/>
      <c r="AC130" s="396"/>
      <c r="AD130" s="360"/>
      <c r="AE130" s="360"/>
      <c r="AF130" s="360"/>
      <c r="AG130" s="360"/>
      <c r="AH130" s="360"/>
      <c r="AI130" s="360"/>
    </row>
    <row r="131" spans="1:35" hidden="1" x14ac:dyDescent="0.25">
      <c r="A131" s="390"/>
      <c r="B131" s="369"/>
      <c r="C131" s="369"/>
      <c r="D131" s="369" t="s">
        <v>679</v>
      </c>
      <c r="E131" s="382">
        <v>1.2515000000000001</v>
      </c>
      <c r="F131" s="383">
        <v>0.64580000000000004</v>
      </c>
      <c r="G131" s="384"/>
      <c r="H131" s="421"/>
      <c r="I131" s="375"/>
      <c r="J131" s="375"/>
      <c r="K131" s="375"/>
      <c r="L131" s="375">
        <f>Table148[[#This Row],[Ambitious target 2030]]+Table148[[#This Row],[Ambitious target 2030]]*0.5</f>
        <v>0</v>
      </c>
      <c r="M131" s="375"/>
      <c r="N131" s="375"/>
      <c r="O131" s="375"/>
      <c r="P131" s="375"/>
      <c r="Q131" s="375">
        <f>Table148[[#This Row],[Red target]]-Table148[[#This Row],[Red target]]*0.5</f>
        <v>0</v>
      </c>
      <c r="R131" s="375"/>
      <c r="S131" s="375"/>
      <c r="T131" s="375"/>
      <c r="U131" s="375"/>
      <c r="V131" s="375"/>
      <c r="W131" s="375"/>
      <c r="X131" s="375"/>
      <c r="Y131" s="375"/>
      <c r="Z131" s="375"/>
      <c r="AA131" s="375"/>
      <c r="AB131" s="375"/>
      <c r="AC131" s="396"/>
      <c r="AD131" s="360"/>
      <c r="AE131" s="360"/>
      <c r="AF131" s="360"/>
      <c r="AG131" s="360"/>
      <c r="AH131" s="360"/>
      <c r="AI131" s="360"/>
    </row>
    <row r="132" spans="1:35" hidden="1" x14ac:dyDescent="0.25">
      <c r="A132" s="390"/>
      <c r="B132" s="369"/>
      <c r="C132" s="369"/>
      <c r="D132" s="369" t="s">
        <v>774</v>
      </c>
      <c r="E132" s="382">
        <v>0.79800000000000004</v>
      </c>
      <c r="F132" s="383">
        <v>0.68420000000000003</v>
      </c>
      <c r="G132" s="384"/>
      <c r="H132" s="421"/>
      <c r="I132" s="375"/>
      <c r="J132" s="375"/>
      <c r="K132" s="375"/>
      <c r="L132" s="375">
        <f>Table148[[#This Row],[Ambitious target 2030]]+Table148[[#This Row],[Ambitious target 2030]]*0.5</f>
        <v>0</v>
      </c>
      <c r="M132" s="375"/>
      <c r="N132" s="375"/>
      <c r="O132" s="375"/>
      <c r="P132" s="375"/>
      <c r="Q132" s="375">
        <f>Table148[[#This Row],[Red target]]-Table148[[#This Row],[Red target]]*0.5</f>
        <v>0</v>
      </c>
      <c r="R132" s="375"/>
      <c r="S132" s="375"/>
      <c r="T132" s="375"/>
      <c r="U132" s="375"/>
      <c r="V132" s="375"/>
      <c r="W132" s="375"/>
      <c r="X132" s="375"/>
      <c r="Y132" s="375"/>
      <c r="Z132" s="375"/>
      <c r="AA132" s="375"/>
      <c r="AB132" s="375"/>
      <c r="AC132" s="396"/>
      <c r="AD132" s="360"/>
      <c r="AE132" s="360"/>
      <c r="AF132" s="360"/>
      <c r="AG132" s="360"/>
      <c r="AH132" s="360"/>
      <c r="AI132" s="360"/>
    </row>
    <row r="133" spans="1:35" hidden="1" x14ac:dyDescent="0.25">
      <c r="A133" s="390"/>
      <c r="B133" s="369"/>
      <c r="C133" s="369"/>
      <c r="D133" s="369" t="s">
        <v>787</v>
      </c>
      <c r="E133" s="382">
        <v>1.4164000000000001</v>
      </c>
      <c r="F133" s="383">
        <v>0.71919999999999995</v>
      </c>
      <c r="G133" s="384"/>
      <c r="H133" s="421"/>
      <c r="I133" s="375"/>
      <c r="J133" s="375"/>
      <c r="K133" s="375"/>
      <c r="L133" s="375">
        <f>Table148[[#This Row],[Ambitious target 2030]]+Table148[[#This Row],[Ambitious target 2030]]*0.5</f>
        <v>0</v>
      </c>
      <c r="M133" s="375"/>
      <c r="N133" s="375"/>
      <c r="O133" s="375"/>
      <c r="P133" s="375"/>
      <c r="Q133" s="375">
        <f>Table148[[#This Row],[Red target]]-Table148[[#This Row],[Red target]]*0.5</f>
        <v>0</v>
      </c>
      <c r="R133" s="375"/>
      <c r="S133" s="375"/>
      <c r="T133" s="375"/>
      <c r="U133" s="375"/>
      <c r="V133" s="375"/>
      <c r="W133" s="375"/>
      <c r="X133" s="375"/>
      <c r="Y133" s="375"/>
      <c r="Z133" s="375"/>
      <c r="AA133" s="375"/>
      <c r="AB133" s="375"/>
      <c r="AC133" s="396"/>
      <c r="AD133" s="360"/>
      <c r="AE133" s="360"/>
      <c r="AF133" s="360"/>
      <c r="AG133" s="360"/>
      <c r="AH133" s="360"/>
      <c r="AI133" s="360"/>
    </row>
    <row r="134" spans="1:35" s="386" customFormat="1" hidden="1" x14ac:dyDescent="0.25">
      <c r="A134" s="409"/>
      <c r="B134" s="406"/>
      <c r="C134" s="406"/>
      <c r="D134" s="406"/>
      <c r="E134" s="407">
        <v>2016</v>
      </c>
      <c r="F134" s="407">
        <v>2017</v>
      </c>
      <c r="G134" s="407">
        <v>2018</v>
      </c>
      <c r="H134" s="407"/>
      <c r="I134" s="407"/>
      <c r="J134" s="407"/>
      <c r="K134" s="407"/>
      <c r="L134" s="407">
        <f>Table148[[#This Row],[Ambitious target 2030]]+Table148[[#This Row],[Ambitious target 2030]]*0.5</f>
        <v>0</v>
      </c>
      <c r="M134" s="407"/>
      <c r="N134" s="407"/>
      <c r="O134" s="407"/>
      <c r="P134" s="407"/>
      <c r="Q134" s="407">
        <f>Table148[[#This Row],[Red target]]-Table148[[#This Row],[Red target]]*0.5</f>
        <v>0</v>
      </c>
      <c r="R134" s="407"/>
      <c r="S134" s="407"/>
      <c r="T134" s="407"/>
      <c r="U134" s="407"/>
      <c r="V134" s="407"/>
      <c r="W134" s="407"/>
      <c r="X134" s="407"/>
      <c r="Y134" s="407"/>
      <c r="Z134" s="407"/>
      <c r="AA134" s="407"/>
      <c r="AB134" s="407"/>
      <c r="AC134" s="413"/>
    </row>
    <row r="135" spans="1:35" x14ac:dyDescent="0.25">
      <c r="A135" s="418" t="s">
        <v>566</v>
      </c>
      <c r="B135" s="437" t="s">
        <v>562</v>
      </c>
      <c r="C135" s="437" t="s">
        <v>219</v>
      </c>
      <c r="D135" s="436" t="s">
        <v>904</v>
      </c>
      <c r="E135" s="420">
        <v>8.4</v>
      </c>
      <c r="F135" s="420">
        <v>8.4</v>
      </c>
      <c r="G135" s="420">
        <v>8.4</v>
      </c>
      <c r="H135" s="421">
        <v>2016</v>
      </c>
      <c r="I135" s="421">
        <v>8.4</v>
      </c>
      <c r="J135" s="421">
        <v>2015</v>
      </c>
      <c r="K135" s="411">
        <v>7.61564</v>
      </c>
      <c r="L135" s="411">
        <v>15</v>
      </c>
      <c r="M135" s="421">
        <f>AVERAGE(G136:G140)*0.8</f>
        <v>10.752000000000002</v>
      </c>
      <c r="N135" s="421"/>
      <c r="O135" s="421">
        <f>(M135-K135)*0.5+K135</f>
        <v>9.1838200000000008</v>
      </c>
      <c r="P135" s="421">
        <f>(Table148[[#This Row],[Ambitious target 2030]]-Table148[[#This Row],[Model reference value]])*0.25+Table148[[#This Row],[Model reference value]]</f>
        <v>8.3997299999999999</v>
      </c>
      <c r="Q135" s="421">
        <f>Table148[[#This Row],[Red target]]-Table148[[#This Row],[Red target]]*0.5</f>
        <v>3.80782</v>
      </c>
      <c r="R135" s="421">
        <f>AVERAGE(G136:G140)</f>
        <v>13.440000000000001</v>
      </c>
      <c r="S135" s="421"/>
      <c r="T135" s="421">
        <f>(Table148[[#This Row],[Ambitious target 2050]]-Table148[[#This Row],[Model reference value]])*0.5+Table148[[#This Row],[Model reference value]]</f>
        <v>10.52782</v>
      </c>
      <c r="U135" s="421">
        <f>(Table148[[#This Row],[Ambitious target 2050]]-Table148[[#This Row],[Model reference value]])*0.25+Table148[[#This Row],[Model reference value]]</f>
        <v>9.0717300000000005</v>
      </c>
      <c r="V135" s="421">
        <v>15</v>
      </c>
      <c r="W135" s="421"/>
      <c r="X135" s="421">
        <f>(Table148[[#This Row],[Ambitious target 2100]]-Table148[[#This Row],[Model reference value]])*0.5+Table148[[#This Row],[Model reference value]]</f>
        <v>11.30782</v>
      </c>
      <c r="Y135" s="421">
        <f>(Table148[[#This Row],[Ambitious target 2100]]-Table148[[#This Row],[Model reference value]])*0.25+Table148[[#This Row],[Model reference value]]</f>
        <v>9.4617299999999993</v>
      </c>
      <c r="Z135" s="421">
        <f>K135</f>
        <v>7.61564</v>
      </c>
      <c r="AA135" s="421" t="s">
        <v>978</v>
      </c>
      <c r="AB135" s="421" t="s">
        <v>1173</v>
      </c>
      <c r="AC135" s="419" t="s">
        <v>723</v>
      </c>
      <c r="AD135" s="360"/>
      <c r="AE135" s="360"/>
      <c r="AF135" s="360"/>
      <c r="AG135" s="360"/>
      <c r="AH135" s="360"/>
      <c r="AI135" s="360"/>
    </row>
    <row r="136" spans="1:35" hidden="1" x14ac:dyDescent="0.25">
      <c r="A136" s="390"/>
      <c r="B136" s="369"/>
      <c r="C136" s="369"/>
      <c r="D136" s="369" t="s">
        <v>724</v>
      </c>
      <c r="E136" s="379">
        <v>14.1</v>
      </c>
      <c r="F136" s="380">
        <v>14.1</v>
      </c>
      <c r="G136" s="381">
        <v>14.1</v>
      </c>
      <c r="H136" s="421"/>
      <c r="I136" s="375"/>
      <c r="J136" s="375"/>
      <c r="K136" s="375"/>
      <c r="L136" s="375">
        <f>Table148[[#This Row],[Ambitious target 2030]]+Table148[[#This Row],[Ambitious target 2030]]*0.5</f>
        <v>0</v>
      </c>
      <c r="M136" s="375"/>
      <c r="N136" s="375"/>
      <c r="O136" s="375"/>
      <c r="P136" s="375"/>
      <c r="Q136" s="375">
        <f>Table148[[#This Row],[Red target]]-Table148[[#This Row],[Red target]]*0.5</f>
        <v>0</v>
      </c>
      <c r="R136" s="375"/>
      <c r="S136" s="375"/>
      <c r="T136" s="375"/>
      <c r="U136" s="375"/>
      <c r="V136" s="375"/>
      <c r="W136" s="375"/>
      <c r="X136" s="375"/>
      <c r="Y136" s="375"/>
      <c r="Z136" s="375"/>
      <c r="AA136" s="375"/>
      <c r="AB136" s="375"/>
      <c r="AC136" s="396"/>
      <c r="AD136" s="360"/>
      <c r="AE136" s="360"/>
      <c r="AF136" s="360"/>
      <c r="AG136" s="360"/>
      <c r="AH136" s="360"/>
      <c r="AI136" s="360"/>
    </row>
    <row r="137" spans="1:35" hidden="1" x14ac:dyDescent="0.25">
      <c r="A137" s="390"/>
      <c r="B137" s="369"/>
      <c r="C137" s="369"/>
      <c r="D137" s="369" t="s">
        <v>725</v>
      </c>
      <c r="E137" s="379">
        <v>13.4</v>
      </c>
      <c r="F137" s="380">
        <v>13.4</v>
      </c>
      <c r="G137" s="381">
        <v>13.4</v>
      </c>
      <c r="H137" s="421"/>
      <c r="I137" s="375"/>
      <c r="J137" s="375"/>
      <c r="K137" s="375"/>
      <c r="L137" s="375">
        <f>Table148[[#This Row],[Ambitious target 2030]]+Table148[[#This Row],[Ambitious target 2030]]*0.5</f>
        <v>0</v>
      </c>
      <c r="M137" s="375"/>
      <c r="N137" s="375"/>
      <c r="O137" s="375"/>
      <c r="P137" s="375"/>
      <c r="Q137" s="375">
        <f>Table148[[#This Row],[Red target]]-Table148[[#This Row],[Red target]]*0.5</f>
        <v>0</v>
      </c>
      <c r="R137" s="375"/>
      <c r="S137" s="375"/>
      <c r="T137" s="375"/>
      <c r="U137" s="375"/>
      <c r="V137" s="375"/>
      <c r="W137" s="375"/>
      <c r="X137" s="375"/>
      <c r="Y137" s="375"/>
      <c r="Z137" s="375"/>
      <c r="AA137" s="375"/>
      <c r="AB137" s="375"/>
      <c r="AC137" s="396"/>
      <c r="AD137" s="360"/>
      <c r="AE137" s="360"/>
      <c r="AF137" s="360"/>
      <c r="AG137" s="360"/>
      <c r="AH137" s="360"/>
      <c r="AI137" s="360"/>
    </row>
    <row r="138" spans="1:35" hidden="1" x14ac:dyDescent="0.25">
      <c r="A138" s="390"/>
      <c r="B138" s="369"/>
      <c r="C138" s="369"/>
      <c r="D138" s="369" t="s">
        <v>726</v>
      </c>
      <c r="E138" s="379">
        <v>13.4</v>
      </c>
      <c r="F138" s="380">
        <v>13.4</v>
      </c>
      <c r="G138" s="381">
        <v>13.4</v>
      </c>
      <c r="H138" s="421"/>
      <c r="I138" s="375"/>
      <c r="J138" s="375"/>
      <c r="K138" s="375"/>
      <c r="L138" s="375">
        <f>Table148[[#This Row],[Ambitious target 2030]]+Table148[[#This Row],[Ambitious target 2030]]*0.5</f>
        <v>0</v>
      </c>
      <c r="M138" s="375"/>
      <c r="N138" s="375"/>
      <c r="O138" s="375"/>
      <c r="P138" s="375"/>
      <c r="Q138" s="375">
        <f>Table148[[#This Row],[Red target]]-Table148[[#This Row],[Red target]]*0.5</f>
        <v>0</v>
      </c>
      <c r="R138" s="375"/>
      <c r="S138" s="375"/>
      <c r="T138" s="375"/>
      <c r="U138" s="375"/>
      <c r="V138" s="375"/>
      <c r="W138" s="375"/>
      <c r="X138" s="375"/>
      <c r="Y138" s="375"/>
      <c r="Z138" s="375"/>
      <c r="AA138" s="375"/>
      <c r="AB138" s="375"/>
      <c r="AC138" s="396"/>
      <c r="AD138" s="360"/>
      <c r="AE138" s="360"/>
      <c r="AF138" s="360"/>
      <c r="AG138" s="360"/>
      <c r="AH138" s="360"/>
      <c r="AI138" s="360"/>
    </row>
    <row r="139" spans="1:35" hidden="1" x14ac:dyDescent="0.25">
      <c r="A139" s="390"/>
      <c r="B139" s="369"/>
      <c r="C139" s="369"/>
      <c r="D139" s="369" t="s">
        <v>727</v>
      </c>
      <c r="E139" s="379">
        <v>13.3</v>
      </c>
      <c r="F139" s="380">
        <v>13.3</v>
      </c>
      <c r="G139" s="381">
        <v>13.3</v>
      </c>
      <c r="H139" s="421"/>
      <c r="I139" s="375"/>
      <c r="J139" s="375"/>
      <c r="K139" s="375"/>
      <c r="L139" s="375">
        <f>Table148[[#This Row],[Ambitious target 2030]]+Table148[[#This Row],[Ambitious target 2030]]*0.5</f>
        <v>0</v>
      </c>
      <c r="M139" s="375"/>
      <c r="N139" s="375"/>
      <c r="O139" s="375"/>
      <c r="P139" s="375"/>
      <c r="Q139" s="375">
        <f>Table148[[#This Row],[Red target]]-Table148[[#This Row],[Red target]]*0.5</f>
        <v>0</v>
      </c>
      <c r="R139" s="375"/>
      <c r="S139" s="375"/>
      <c r="T139" s="375"/>
      <c r="U139" s="375"/>
      <c r="V139" s="375"/>
      <c r="W139" s="375"/>
      <c r="X139" s="375"/>
      <c r="Y139" s="375"/>
      <c r="Z139" s="375"/>
      <c r="AA139" s="375"/>
      <c r="AB139" s="375"/>
      <c r="AC139" s="396"/>
      <c r="AD139" s="360"/>
      <c r="AE139" s="360"/>
      <c r="AF139" s="360"/>
      <c r="AG139" s="360"/>
      <c r="AH139" s="360"/>
      <c r="AI139" s="360"/>
    </row>
    <row r="140" spans="1:35" hidden="1" x14ac:dyDescent="0.25">
      <c r="A140" s="390"/>
      <c r="B140" s="369"/>
      <c r="C140" s="369"/>
      <c r="D140" s="369" t="s">
        <v>728</v>
      </c>
      <c r="E140" s="379">
        <v>13.1</v>
      </c>
      <c r="F140" s="380">
        <v>13</v>
      </c>
      <c r="G140" s="381">
        <v>13</v>
      </c>
      <c r="H140" s="421"/>
      <c r="I140" s="375"/>
      <c r="J140" s="375"/>
      <c r="K140" s="375"/>
      <c r="L140" s="375">
        <f>Table148[[#This Row],[Ambitious target 2030]]+Table148[[#This Row],[Ambitious target 2030]]*0.5</f>
        <v>0</v>
      </c>
      <c r="M140" s="375"/>
      <c r="N140" s="375"/>
      <c r="O140" s="375"/>
      <c r="P140" s="375"/>
      <c r="Q140" s="375">
        <f>Table148[[#This Row],[Red target]]-Table148[[#This Row],[Red target]]*0.5</f>
        <v>0</v>
      </c>
      <c r="R140" s="375"/>
      <c r="S140" s="375"/>
      <c r="T140" s="375"/>
      <c r="U140" s="375"/>
      <c r="V140" s="375"/>
      <c r="W140" s="375"/>
      <c r="X140" s="375"/>
      <c r="Y140" s="375"/>
      <c r="Z140" s="375"/>
      <c r="AA140" s="375"/>
      <c r="AB140" s="375"/>
      <c r="AC140" s="396"/>
      <c r="AD140" s="360"/>
      <c r="AE140" s="360"/>
      <c r="AF140" s="360"/>
      <c r="AG140" s="360"/>
      <c r="AH140" s="360"/>
      <c r="AI140" s="360"/>
    </row>
    <row r="141" spans="1:35" hidden="1" x14ac:dyDescent="0.25">
      <c r="A141" s="390"/>
      <c r="B141" s="369"/>
      <c r="C141" s="369"/>
      <c r="D141" s="369" t="s">
        <v>729</v>
      </c>
      <c r="E141" s="382">
        <v>1.9</v>
      </c>
      <c r="F141" s="383">
        <v>2</v>
      </c>
      <c r="G141" s="384">
        <v>2</v>
      </c>
      <c r="H141" s="421"/>
      <c r="I141" s="375"/>
      <c r="J141" s="375"/>
      <c r="K141" s="375"/>
      <c r="L141" s="375">
        <f>Table148[[#This Row],[Ambitious target 2030]]+Table148[[#This Row],[Ambitious target 2030]]*0.5</f>
        <v>0</v>
      </c>
      <c r="M141" s="375"/>
      <c r="N141" s="375"/>
      <c r="O141" s="375"/>
      <c r="P141" s="375"/>
      <c r="Q141" s="375">
        <f>Table148[[#This Row],[Red target]]-Table148[[#This Row],[Red target]]*0.5</f>
        <v>0</v>
      </c>
      <c r="R141" s="375"/>
      <c r="S141" s="375"/>
      <c r="T141" s="375"/>
      <c r="U141" s="375"/>
      <c r="V141" s="375"/>
      <c r="W141" s="375"/>
      <c r="X141" s="375"/>
      <c r="Y141" s="375"/>
      <c r="Z141" s="375"/>
      <c r="AA141" s="375"/>
      <c r="AB141" s="375"/>
      <c r="AC141" s="396"/>
      <c r="AD141" s="360"/>
      <c r="AE141" s="360"/>
      <c r="AF141" s="360"/>
      <c r="AG141" s="360"/>
      <c r="AH141" s="360"/>
      <c r="AI141" s="360"/>
    </row>
    <row r="142" spans="1:35" hidden="1" x14ac:dyDescent="0.25">
      <c r="A142" s="390"/>
      <c r="B142" s="369"/>
      <c r="C142" s="369"/>
      <c r="D142" s="369" t="s">
        <v>730</v>
      </c>
      <c r="E142" s="382">
        <v>2.4</v>
      </c>
      <c r="F142" s="383">
        <v>2.4</v>
      </c>
      <c r="G142" s="384">
        <v>2.4</v>
      </c>
      <c r="H142" s="421"/>
      <c r="I142" s="375"/>
      <c r="J142" s="375"/>
      <c r="K142" s="375"/>
      <c r="L142" s="375">
        <f>Table148[[#This Row],[Ambitious target 2030]]+Table148[[#This Row],[Ambitious target 2030]]*0.5</f>
        <v>0</v>
      </c>
      <c r="M142" s="375"/>
      <c r="N142" s="375"/>
      <c r="O142" s="375"/>
      <c r="P142" s="375"/>
      <c r="Q142" s="375">
        <f>Table148[[#This Row],[Red target]]-Table148[[#This Row],[Red target]]*0.5</f>
        <v>0</v>
      </c>
      <c r="R142" s="375"/>
      <c r="S142" s="375"/>
      <c r="T142" s="375"/>
      <c r="U142" s="375"/>
      <c r="V142" s="375"/>
      <c r="W142" s="375"/>
      <c r="X142" s="375"/>
      <c r="Y142" s="375"/>
      <c r="Z142" s="375"/>
      <c r="AA142" s="375"/>
      <c r="AB142" s="375"/>
      <c r="AC142" s="396"/>
      <c r="AD142" s="360"/>
      <c r="AE142" s="360"/>
      <c r="AF142" s="360"/>
      <c r="AG142" s="360"/>
      <c r="AH142" s="360"/>
      <c r="AI142" s="360"/>
    </row>
    <row r="143" spans="1:35" hidden="1" x14ac:dyDescent="0.25">
      <c r="A143" s="390"/>
      <c r="B143" s="369"/>
      <c r="C143" s="369"/>
      <c r="D143" s="369" t="s">
        <v>731</v>
      </c>
      <c r="E143" s="382">
        <v>2.2000000000000002</v>
      </c>
      <c r="F143" s="383">
        <v>2.4</v>
      </c>
      <c r="G143" s="384">
        <v>2.4</v>
      </c>
      <c r="H143" s="421"/>
      <c r="I143" s="375"/>
      <c r="J143" s="375"/>
      <c r="K143" s="375"/>
      <c r="L143" s="375">
        <f>Table148[[#This Row],[Ambitious target 2030]]+Table148[[#This Row],[Ambitious target 2030]]*0.5</f>
        <v>0</v>
      </c>
      <c r="M143" s="375"/>
      <c r="N143" s="375"/>
      <c r="O143" s="375"/>
      <c r="P143" s="375"/>
      <c r="Q143" s="375">
        <f>Table148[[#This Row],[Red target]]-Table148[[#This Row],[Red target]]*0.5</f>
        <v>0</v>
      </c>
      <c r="R143" s="375"/>
      <c r="S143" s="375"/>
      <c r="T143" s="375"/>
      <c r="U143" s="375"/>
      <c r="V143" s="375"/>
      <c r="W143" s="375"/>
      <c r="X143" s="375"/>
      <c r="Y143" s="375"/>
      <c r="Z143" s="375"/>
      <c r="AA143" s="375"/>
      <c r="AB143" s="375"/>
      <c r="AC143" s="396"/>
      <c r="AD143" s="360"/>
      <c r="AE143" s="360"/>
      <c r="AF143" s="360"/>
      <c r="AG143" s="360"/>
      <c r="AH143" s="360"/>
      <c r="AI143" s="360"/>
    </row>
    <row r="144" spans="1:35" hidden="1" x14ac:dyDescent="0.25">
      <c r="A144" s="390"/>
      <c r="B144" s="369"/>
      <c r="C144" s="369"/>
      <c r="D144" s="369" t="s">
        <v>732</v>
      </c>
      <c r="E144" s="382">
        <v>2.7</v>
      </c>
      <c r="F144" s="383">
        <v>2.7</v>
      </c>
      <c r="G144" s="384">
        <v>2.7</v>
      </c>
      <c r="H144" s="421"/>
      <c r="I144" s="375"/>
      <c r="J144" s="375"/>
      <c r="K144" s="375"/>
      <c r="L144" s="375">
        <f>Table148[[#This Row],[Ambitious target 2030]]+Table148[[#This Row],[Ambitious target 2030]]*0.5</f>
        <v>0</v>
      </c>
      <c r="M144" s="375"/>
      <c r="N144" s="375"/>
      <c r="O144" s="375"/>
      <c r="P144" s="375"/>
      <c r="Q144" s="375">
        <f>Table148[[#This Row],[Red target]]-Table148[[#This Row],[Red target]]*0.5</f>
        <v>0</v>
      </c>
      <c r="R144" s="375"/>
      <c r="S144" s="375"/>
      <c r="T144" s="375"/>
      <c r="U144" s="375"/>
      <c r="V144" s="375"/>
      <c r="W144" s="375"/>
      <c r="X144" s="375"/>
      <c r="Y144" s="375"/>
      <c r="Z144" s="375"/>
      <c r="AA144" s="375"/>
      <c r="AB144" s="375"/>
      <c r="AC144" s="396"/>
      <c r="AD144" s="360"/>
      <c r="AE144" s="360"/>
      <c r="AF144" s="360"/>
      <c r="AG144" s="360"/>
      <c r="AH144" s="360"/>
      <c r="AI144" s="360"/>
    </row>
    <row r="145" spans="1:35" hidden="1" x14ac:dyDescent="0.25">
      <c r="A145" s="390"/>
      <c r="B145" s="369"/>
      <c r="C145" s="369"/>
      <c r="D145" s="369" t="s">
        <v>733</v>
      </c>
      <c r="E145" s="382">
        <v>2.7</v>
      </c>
      <c r="F145" s="383">
        <v>2.8</v>
      </c>
      <c r="G145" s="384">
        <v>2.8</v>
      </c>
      <c r="H145" s="421"/>
      <c r="I145" s="375"/>
      <c r="J145" s="375"/>
      <c r="K145" s="375"/>
      <c r="L145" s="375">
        <f>Table148[[#This Row],[Ambitious target 2030]]+Table148[[#This Row],[Ambitious target 2030]]*0.5</f>
        <v>0</v>
      </c>
      <c r="M145" s="375"/>
      <c r="N145" s="375"/>
      <c r="O145" s="375"/>
      <c r="P145" s="375"/>
      <c r="Q145" s="375">
        <f>Table148[[#This Row],[Red target]]-Table148[[#This Row],[Red target]]*0.5</f>
        <v>0</v>
      </c>
      <c r="R145" s="375"/>
      <c r="S145" s="375"/>
      <c r="T145" s="375"/>
      <c r="U145" s="375"/>
      <c r="V145" s="375"/>
      <c r="W145" s="375"/>
      <c r="X145" s="375"/>
      <c r="Y145" s="375"/>
      <c r="Z145" s="375"/>
      <c r="AA145" s="375"/>
      <c r="AB145" s="375"/>
      <c r="AC145" s="396"/>
      <c r="AD145" s="360"/>
      <c r="AE145" s="360"/>
      <c r="AF145" s="360"/>
      <c r="AG145" s="360"/>
      <c r="AH145" s="360"/>
      <c r="AI145" s="360"/>
    </row>
    <row r="146" spans="1:35" s="386" customFormat="1" hidden="1" x14ac:dyDescent="0.25">
      <c r="A146" s="409"/>
      <c r="B146" s="406"/>
      <c r="C146" s="406"/>
      <c r="D146" s="406"/>
      <c r="E146" s="407"/>
      <c r="F146" s="407"/>
      <c r="G146" s="407">
        <v>2017</v>
      </c>
      <c r="H146" s="407"/>
      <c r="I146" s="407"/>
      <c r="J146" s="407"/>
      <c r="K146" s="407"/>
      <c r="L146" s="407">
        <f>Table148[[#This Row],[Ambitious target 2030]]+Table148[[#This Row],[Ambitious target 2030]]*0.5</f>
        <v>0</v>
      </c>
      <c r="M146" s="407"/>
      <c r="N146" s="407"/>
      <c r="O146" s="407"/>
      <c r="P146" s="407"/>
      <c r="Q146" s="407">
        <f>Table148[[#This Row],[Red target]]-Table148[[#This Row],[Red target]]*0.5</f>
        <v>0</v>
      </c>
      <c r="R146" s="407"/>
      <c r="S146" s="407"/>
      <c r="T146" s="407"/>
      <c r="U146" s="407"/>
      <c r="V146" s="407"/>
      <c r="W146" s="407"/>
      <c r="X146" s="407"/>
      <c r="Y146" s="407"/>
      <c r="Z146" s="407"/>
      <c r="AA146" s="407"/>
      <c r="AB146" s="407"/>
      <c r="AC146" s="413"/>
    </row>
    <row r="147" spans="1:35" x14ac:dyDescent="0.25">
      <c r="A147" s="418" t="s">
        <v>560</v>
      </c>
      <c r="B147" s="437" t="s">
        <v>561</v>
      </c>
      <c r="C147" s="437" t="s">
        <v>473</v>
      </c>
      <c r="D147" s="436" t="s">
        <v>799</v>
      </c>
      <c r="E147" s="420"/>
      <c r="F147" s="420"/>
      <c r="G147" s="420">
        <v>43.73</v>
      </c>
      <c r="H147" s="421">
        <v>2017</v>
      </c>
      <c r="I147" s="421">
        <v>43.73</v>
      </c>
      <c r="J147" s="421">
        <v>2015</v>
      </c>
      <c r="K147" s="411">
        <v>12.373100000000001</v>
      </c>
      <c r="L147" s="411">
        <v>100</v>
      </c>
      <c r="M147" s="421">
        <f>AVERAGE(G148:G152)*0.5</f>
        <v>30.431000000000001</v>
      </c>
      <c r="N147" s="421"/>
      <c r="O147" s="421">
        <f>(M147-K147)*0.5+K147</f>
        <v>21.402050000000003</v>
      </c>
      <c r="P147" s="421">
        <f>(Table148[[#This Row],[Ambitious target 2030]]-Table148[[#This Row],[Model reference value]])*0.25+Table148[[#This Row],[Model reference value]]</f>
        <v>16.887575000000002</v>
      </c>
      <c r="Q147" s="421">
        <v>0</v>
      </c>
      <c r="R147" s="421">
        <f>AVERAGE(G148:G152)</f>
        <v>60.862000000000002</v>
      </c>
      <c r="S147" s="421"/>
      <c r="T147" s="421">
        <f>(Table148[[#This Row],[Ambitious target 2050]]-Table148[[#This Row],[Model reference value]])*0.5+Table148[[#This Row],[Model reference value]]</f>
        <v>36.617550000000001</v>
      </c>
      <c r="U147" s="421">
        <f>(Table148[[#This Row],[Ambitious target 2050]]-Table148[[#This Row],[Model reference value]])*0.25+Table148[[#This Row],[Model reference value]]</f>
        <v>24.495325000000001</v>
      </c>
      <c r="V147" s="421">
        <f>AVERAGE(G148:G152)*1.2</f>
        <v>73.034400000000005</v>
      </c>
      <c r="W147" s="421"/>
      <c r="X147" s="421">
        <f>(Table148[[#This Row],[Ambitious target 2100]]-Table148[[#This Row],[Model reference value]])*0.5+Table148[[#This Row],[Model reference value]]</f>
        <v>42.703749999999999</v>
      </c>
      <c r="Y147" s="421">
        <f>(Table148[[#This Row],[Ambitious target 2100]]-Table148[[#This Row],[Model reference value]])*0.25+Table148[[#This Row],[Model reference value]]</f>
        <v>27.538425000000004</v>
      </c>
      <c r="Z147" s="421">
        <f>K147</f>
        <v>12.373100000000001</v>
      </c>
      <c r="AA147" s="421" t="s">
        <v>978</v>
      </c>
      <c r="AB147" s="421" t="s">
        <v>1174</v>
      </c>
      <c r="AC147" s="419" t="s">
        <v>770</v>
      </c>
      <c r="AD147" s="360"/>
      <c r="AE147" s="360"/>
      <c r="AF147" s="360"/>
      <c r="AG147" s="360"/>
      <c r="AH147" s="360"/>
      <c r="AI147" s="360"/>
    </row>
    <row r="148" spans="1:35" hidden="1" x14ac:dyDescent="0.25">
      <c r="A148" s="390"/>
      <c r="B148" s="369"/>
      <c r="C148" s="369"/>
      <c r="D148" s="369" t="s">
        <v>771</v>
      </c>
      <c r="E148" s="379"/>
      <c r="F148" s="380"/>
      <c r="G148" s="381">
        <v>69.75</v>
      </c>
      <c r="H148" s="421"/>
      <c r="I148" s="375"/>
      <c r="J148" s="375"/>
      <c r="K148" s="375"/>
      <c r="L148" s="375">
        <f>Table148[[#This Row],[Ambitious target 2030]]+Table148[[#This Row],[Ambitious target 2030]]*0.5</f>
        <v>0</v>
      </c>
      <c r="M148" s="375"/>
      <c r="N148" s="375"/>
      <c r="O148" s="375"/>
      <c r="P148" s="375"/>
      <c r="Q148" s="375">
        <f>Table148[[#This Row],[Red target]]-Table148[[#This Row],[Red target]]*0.5</f>
        <v>0</v>
      </c>
      <c r="R148" s="375"/>
      <c r="S148" s="375"/>
      <c r="T148" s="375"/>
      <c r="U148" s="375"/>
      <c r="V148" s="375"/>
      <c r="W148" s="375"/>
      <c r="X148" s="375"/>
      <c r="Y148" s="375"/>
      <c r="Z148" s="375"/>
      <c r="AA148" s="375"/>
      <c r="AB148" s="375"/>
      <c r="AC148" s="396"/>
      <c r="AD148" s="360"/>
      <c r="AE148" s="360"/>
      <c r="AF148" s="360"/>
      <c r="AG148" s="360"/>
      <c r="AH148" s="360"/>
      <c r="AI148" s="360"/>
    </row>
    <row r="149" spans="1:35" hidden="1" x14ac:dyDescent="0.25">
      <c r="A149" s="390"/>
      <c r="B149" s="369"/>
      <c r="C149" s="369"/>
      <c r="D149" s="369" t="s">
        <v>772</v>
      </c>
      <c r="E149" s="379"/>
      <c r="F149" s="380"/>
      <c r="G149" s="381">
        <v>60.92</v>
      </c>
      <c r="H149" s="421"/>
      <c r="I149" s="375"/>
      <c r="J149" s="375"/>
      <c r="K149" s="375"/>
      <c r="L149" s="375">
        <f>Table148[[#This Row],[Ambitious target 2030]]+Table148[[#This Row],[Ambitious target 2030]]*0.5</f>
        <v>0</v>
      </c>
      <c r="M149" s="375"/>
      <c r="N149" s="375"/>
      <c r="O149" s="375"/>
      <c r="P149" s="375"/>
      <c r="Q149" s="375">
        <f>Table148[[#This Row],[Red target]]-Table148[[#This Row],[Red target]]*0.5</f>
        <v>0</v>
      </c>
      <c r="R149" s="375"/>
      <c r="S149" s="375"/>
      <c r="T149" s="375"/>
      <c r="U149" s="375"/>
      <c r="V149" s="375"/>
      <c r="W149" s="375"/>
      <c r="X149" s="375"/>
      <c r="Y149" s="375"/>
      <c r="Z149" s="375"/>
      <c r="AA149" s="375"/>
      <c r="AB149" s="375"/>
      <c r="AC149" s="396"/>
      <c r="AD149" s="360"/>
      <c r="AE149" s="360"/>
      <c r="AF149" s="360"/>
      <c r="AG149" s="360"/>
      <c r="AH149" s="360"/>
      <c r="AI149" s="360"/>
    </row>
    <row r="150" spans="1:35" hidden="1" x14ac:dyDescent="0.25">
      <c r="A150" s="390"/>
      <c r="B150" s="369"/>
      <c r="C150" s="369"/>
      <c r="D150" s="369" t="s">
        <v>715</v>
      </c>
      <c r="E150" s="379"/>
      <c r="F150" s="380"/>
      <c r="G150" s="381">
        <v>60.43</v>
      </c>
      <c r="H150" s="421"/>
      <c r="I150" s="375"/>
      <c r="J150" s="375"/>
      <c r="K150" s="375"/>
      <c r="L150" s="375">
        <f>Table148[[#This Row],[Ambitious target 2030]]+Table148[[#This Row],[Ambitious target 2030]]*0.5</f>
        <v>0</v>
      </c>
      <c r="M150" s="375"/>
      <c r="N150" s="375"/>
      <c r="O150" s="375"/>
      <c r="P150" s="375"/>
      <c r="Q150" s="375">
        <f>Table148[[#This Row],[Red target]]-Table148[[#This Row],[Red target]]*0.5</f>
        <v>0</v>
      </c>
      <c r="R150" s="375"/>
      <c r="S150" s="375"/>
      <c r="T150" s="375"/>
      <c r="U150" s="375"/>
      <c r="V150" s="375"/>
      <c r="W150" s="375"/>
      <c r="X150" s="375"/>
      <c r="Y150" s="375"/>
      <c r="Z150" s="375"/>
      <c r="AA150" s="375"/>
      <c r="AB150" s="375"/>
      <c r="AC150" s="396"/>
      <c r="AD150" s="360"/>
      <c r="AE150" s="360"/>
      <c r="AF150" s="360"/>
      <c r="AG150" s="360"/>
      <c r="AH150" s="360"/>
      <c r="AI150" s="360"/>
    </row>
    <row r="151" spans="1:35" hidden="1" x14ac:dyDescent="0.25">
      <c r="A151" s="390"/>
      <c r="B151" s="369"/>
      <c r="C151" s="369"/>
      <c r="D151" s="369" t="s">
        <v>773</v>
      </c>
      <c r="E151" s="379"/>
      <c r="F151" s="380"/>
      <c r="G151" s="381">
        <v>57.58</v>
      </c>
      <c r="H151" s="421"/>
      <c r="I151" s="375"/>
      <c r="J151" s="375"/>
      <c r="K151" s="375"/>
      <c r="L151" s="375">
        <f>Table148[[#This Row],[Ambitious target 2030]]+Table148[[#This Row],[Ambitious target 2030]]*0.5</f>
        <v>0</v>
      </c>
      <c r="M151" s="375"/>
      <c r="N151" s="375"/>
      <c r="O151" s="375"/>
      <c r="P151" s="375"/>
      <c r="Q151" s="375">
        <f>Table148[[#This Row],[Red target]]-Table148[[#This Row],[Red target]]*0.5</f>
        <v>0</v>
      </c>
      <c r="R151" s="375"/>
      <c r="S151" s="375"/>
      <c r="T151" s="375"/>
      <c r="U151" s="375"/>
      <c r="V151" s="375"/>
      <c r="W151" s="375"/>
      <c r="X151" s="375"/>
      <c r="Y151" s="375"/>
      <c r="Z151" s="375"/>
      <c r="AA151" s="375"/>
      <c r="AB151" s="375"/>
      <c r="AC151" s="396"/>
      <c r="AD151" s="360"/>
      <c r="AE151" s="360"/>
      <c r="AF151" s="360"/>
      <c r="AG151" s="360"/>
      <c r="AH151" s="360"/>
      <c r="AI151" s="360"/>
    </row>
    <row r="152" spans="1:35" hidden="1" x14ac:dyDescent="0.25">
      <c r="A152" s="390"/>
      <c r="B152" s="369"/>
      <c r="C152" s="369"/>
      <c r="D152" s="369" t="s">
        <v>774</v>
      </c>
      <c r="E152" s="379"/>
      <c r="F152" s="380"/>
      <c r="G152" s="381">
        <v>55.63</v>
      </c>
      <c r="H152" s="421"/>
      <c r="I152" s="375"/>
      <c r="J152" s="375"/>
      <c r="K152" s="375"/>
      <c r="L152" s="375">
        <f>Table148[[#This Row],[Ambitious target 2030]]+Table148[[#This Row],[Ambitious target 2030]]*0.5</f>
        <v>0</v>
      </c>
      <c r="M152" s="375"/>
      <c r="N152" s="375"/>
      <c r="O152" s="375"/>
      <c r="P152" s="375"/>
      <c r="Q152" s="375">
        <f>Table148[[#This Row],[Red target]]-Table148[[#This Row],[Red target]]*0.5</f>
        <v>0</v>
      </c>
      <c r="R152" s="375"/>
      <c r="S152" s="375"/>
      <c r="T152" s="375"/>
      <c r="U152" s="375"/>
      <c r="V152" s="375"/>
      <c r="W152" s="375"/>
      <c r="X152" s="375"/>
      <c r="Y152" s="375"/>
      <c r="Z152" s="375"/>
      <c r="AA152" s="375"/>
      <c r="AB152" s="375"/>
      <c r="AC152" s="396"/>
      <c r="AD152" s="360"/>
      <c r="AE152" s="360"/>
      <c r="AF152" s="360"/>
      <c r="AG152" s="360"/>
      <c r="AH152" s="360"/>
      <c r="AI152" s="360"/>
    </row>
    <row r="153" spans="1:35" hidden="1" x14ac:dyDescent="0.25">
      <c r="A153" s="390"/>
      <c r="B153" s="369"/>
      <c r="C153" s="369"/>
      <c r="D153" s="369" t="s">
        <v>777</v>
      </c>
      <c r="E153" s="382"/>
      <c r="F153" s="383"/>
      <c r="G153" s="384">
        <v>17.95</v>
      </c>
      <c r="H153" s="421"/>
      <c r="I153" s="375"/>
      <c r="J153" s="375"/>
      <c r="K153" s="375"/>
      <c r="L153" s="375">
        <f>Table148[[#This Row],[Ambitious target 2030]]+Table148[[#This Row],[Ambitious target 2030]]*0.5</f>
        <v>0</v>
      </c>
      <c r="M153" s="375"/>
      <c r="N153" s="375"/>
      <c r="O153" s="375"/>
      <c r="P153" s="375"/>
      <c r="Q153" s="375">
        <f>Table148[[#This Row],[Red target]]-Table148[[#This Row],[Red target]]*0.5</f>
        <v>0</v>
      </c>
      <c r="R153" s="375"/>
      <c r="S153" s="375"/>
      <c r="T153" s="375"/>
      <c r="U153" s="375"/>
      <c r="V153" s="375"/>
      <c r="W153" s="375"/>
      <c r="X153" s="375"/>
      <c r="Y153" s="375"/>
      <c r="Z153" s="375"/>
      <c r="AA153" s="375"/>
      <c r="AB153" s="375"/>
      <c r="AC153" s="396"/>
      <c r="AD153" s="360"/>
      <c r="AE153" s="360"/>
      <c r="AF153" s="360"/>
      <c r="AG153" s="360"/>
      <c r="AH153" s="360"/>
      <c r="AI153" s="360"/>
    </row>
    <row r="154" spans="1:35" hidden="1" x14ac:dyDescent="0.25">
      <c r="A154" s="390"/>
      <c r="B154" s="369"/>
      <c r="C154" s="369"/>
      <c r="D154" s="369" t="s">
        <v>778</v>
      </c>
      <c r="E154" s="382"/>
      <c r="F154" s="383"/>
      <c r="G154" s="384">
        <v>16.63</v>
      </c>
      <c r="H154" s="421"/>
      <c r="I154" s="375"/>
      <c r="J154" s="375"/>
      <c r="K154" s="375"/>
      <c r="L154" s="375">
        <f>Table148[[#This Row],[Ambitious target 2030]]+Table148[[#This Row],[Ambitious target 2030]]*0.5</f>
        <v>0</v>
      </c>
      <c r="M154" s="375"/>
      <c r="N154" s="375"/>
      <c r="O154" s="375"/>
      <c r="P154" s="375"/>
      <c r="Q154" s="375">
        <f>Table148[[#This Row],[Red target]]-Table148[[#This Row],[Red target]]*0.5</f>
        <v>0</v>
      </c>
      <c r="R154" s="375"/>
      <c r="S154" s="375"/>
      <c r="T154" s="375"/>
      <c r="U154" s="375"/>
      <c r="V154" s="375"/>
      <c r="W154" s="375"/>
      <c r="X154" s="375"/>
      <c r="Y154" s="375"/>
      <c r="Z154" s="375"/>
      <c r="AA154" s="375"/>
      <c r="AB154" s="375"/>
      <c r="AC154" s="396"/>
      <c r="AD154" s="360"/>
      <c r="AE154" s="360"/>
      <c r="AF154" s="360"/>
      <c r="AG154" s="360"/>
      <c r="AH154" s="360"/>
      <c r="AI154" s="360"/>
    </row>
    <row r="155" spans="1:35" hidden="1" x14ac:dyDescent="0.25">
      <c r="A155" s="390"/>
      <c r="B155" s="369"/>
      <c r="C155" s="369"/>
      <c r="D155" s="369" t="s">
        <v>775</v>
      </c>
      <c r="E155" s="382"/>
      <c r="F155" s="383"/>
      <c r="G155" s="384">
        <v>16.13</v>
      </c>
      <c r="H155" s="421"/>
      <c r="I155" s="375"/>
      <c r="J155" s="375"/>
      <c r="K155" s="375"/>
      <c r="L155" s="375">
        <f>Table148[[#This Row],[Ambitious target 2030]]+Table148[[#This Row],[Ambitious target 2030]]*0.5</f>
        <v>0</v>
      </c>
      <c r="M155" s="375"/>
      <c r="N155" s="375"/>
      <c r="O155" s="375"/>
      <c r="P155" s="375"/>
      <c r="Q155" s="375">
        <f>Table148[[#This Row],[Red target]]-Table148[[#This Row],[Red target]]*0.5</f>
        <v>0</v>
      </c>
      <c r="R155" s="375"/>
      <c r="S155" s="375"/>
      <c r="T155" s="375"/>
      <c r="U155" s="375"/>
      <c r="V155" s="375"/>
      <c r="W155" s="375"/>
      <c r="X155" s="375"/>
      <c r="Y155" s="375"/>
      <c r="Z155" s="375"/>
      <c r="AA155" s="375"/>
      <c r="AB155" s="375"/>
      <c r="AC155" s="396"/>
      <c r="AD155" s="360"/>
      <c r="AE155" s="360"/>
      <c r="AF155" s="360"/>
      <c r="AG155" s="360"/>
      <c r="AH155" s="360"/>
      <c r="AI155" s="360"/>
    </row>
    <row r="156" spans="1:35" hidden="1" x14ac:dyDescent="0.25">
      <c r="A156" s="390"/>
      <c r="B156" s="369"/>
      <c r="C156" s="369"/>
      <c r="D156" s="369" t="s">
        <v>691</v>
      </c>
      <c r="E156" s="382"/>
      <c r="F156" s="383"/>
      <c r="G156" s="384">
        <v>13.9</v>
      </c>
      <c r="H156" s="421"/>
      <c r="I156" s="375"/>
      <c r="J156" s="375"/>
      <c r="K156" s="375"/>
      <c r="L156" s="375">
        <f>Table148[[#This Row],[Ambitious target 2030]]+Table148[[#This Row],[Ambitious target 2030]]*0.5</f>
        <v>0</v>
      </c>
      <c r="M156" s="375"/>
      <c r="N156" s="375"/>
      <c r="O156" s="375"/>
      <c r="P156" s="375"/>
      <c r="Q156" s="375">
        <f>Table148[[#This Row],[Red target]]-Table148[[#This Row],[Red target]]*0.5</f>
        <v>0</v>
      </c>
      <c r="R156" s="375"/>
      <c r="S156" s="375"/>
      <c r="T156" s="375"/>
      <c r="U156" s="375"/>
      <c r="V156" s="375"/>
      <c r="W156" s="375"/>
      <c r="X156" s="375"/>
      <c r="Y156" s="375"/>
      <c r="Z156" s="375"/>
      <c r="AA156" s="375"/>
      <c r="AB156" s="375"/>
      <c r="AC156" s="396"/>
      <c r="AD156" s="360"/>
      <c r="AE156" s="360"/>
      <c r="AF156" s="360"/>
      <c r="AG156" s="360"/>
      <c r="AH156" s="360"/>
      <c r="AI156" s="360"/>
    </row>
    <row r="157" spans="1:35" hidden="1" x14ac:dyDescent="0.25">
      <c r="A157" s="390"/>
      <c r="B157" s="369"/>
      <c r="C157" s="369"/>
      <c r="D157" s="369" t="s">
        <v>776</v>
      </c>
      <c r="E157" s="382"/>
      <c r="F157" s="383"/>
      <c r="G157" s="384">
        <v>6.01</v>
      </c>
      <c r="H157" s="421"/>
      <c r="I157" s="375"/>
      <c r="J157" s="375"/>
      <c r="K157" s="375"/>
      <c r="L157" s="375">
        <f>Table148[[#This Row],[Ambitious target 2030]]+Table148[[#This Row],[Ambitious target 2030]]*0.5</f>
        <v>0</v>
      </c>
      <c r="M157" s="375"/>
      <c r="N157" s="375"/>
      <c r="O157" s="375"/>
      <c r="P157" s="375"/>
      <c r="Q157" s="375">
        <f>Table148[[#This Row],[Red target]]-Table148[[#This Row],[Red target]]*0.5</f>
        <v>0</v>
      </c>
      <c r="R157" s="375"/>
      <c r="S157" s="375"/>
      <c r="T157" s="375"/>
      <c r="U157" s="375"/>
      <c r="V157" s="375"/>
      <c r="W157" s="375"/>
      <c r="X157" s="375"/>
      <c r="Y157" s="375"/>
      <c r="Z157" s="375"/>
      <c r="AA157" s="375"/>
      <c r="AB157" s="375"/>
      <c r="AC157" s="396"/>
      <c r="AD157" s="360"/>
      <c r="AE157" s="360"/>
      <c r="AF157" s="360"/>
      <c r="AG157" s="360"/>
      <c r="AH157" s="360"/>
      <c r="AI157" s="360"/>
    </row>
    <row r="158" spans="1:35" s="386" customFormat="1" hidden="1" x14ac:dyDescent="0.25">
      <c r="A158" s="409"/>
      <c r="B158" s="406"/>
      <c r="C158" s="406"/>
      <c r="D158" s="406"/>
      <c r="E158" s="407">
        <v>2017</v>
      </c>
      <c r="F158" s="407">
        <v>2018</v>
      </c>
      <c r="G158" s="407">
        <v>2019</v>
      </c>
      <c r="H158" s="407"/>
      <c r="I158" s="407"/>
      <c r="J158" s="407"/>
      <c r="K158" s="407"/>
      <c r="L158" s="407">
        <f>Table148[[#This Row],[Ambitious target 2030]]+Table148[[#This Row],[Ambitious target 2030]]*0.5</f>
        <v>0</v>
      </c>
      <c r="M158" s="407"/>
      <c r="N158" s="407"/>
      <c r="O158" s="407"/>
      <c r="P158" s="407"/>
      <c r="Q158" s="407">
        <f>Table148[[#This Row],[Red target]]-Table148[[#This Row],[Red target]]*0.5</f>
        <v>0</v>
      </c>
      <c r="R158" s="407"/>
      <c r="S158" s="407"/>
      <c r="T158" s="407"/>
      <c r="U158" s="407"/>
      <c r="V158" s="407"/>
      <c r="W158" s="407"/>
      <c r="X158" s="407"/>
      <c r="Y158" s="407"/>
      <c r="Z158" s="407"/>
      <c r="AA158" s="407"/>
      <c r="AB158" s="407"/>
      <c r="AC158" s="413"/>
    </row>
    <row r="159" spans="1:35" x14ac:dyDescent="0.25">
      <c r="A159" s="418" t="s">
        <v>735</v>
      </c>
      <c r="B159" s="437" t="s">
        <v>1080</v>
      </c>
      <c r="C159" s="437" t="s">
        <v>473</v>
      </c>
      <c r="D159" s="436" t="s">
        <v>904</v>
      </c>
      <c r="E159" s="420">
        <f>((490.2)/(4607+3141.9+3718.4+490.2))*100</f>
        <v>4.099519130252979</v>
      </c>
      <c r="F159" s="420">
        <f>(561.3/(4662.1+3309.4+3772.1+561.3))*100</f>
        <v>4.561597412412941</v>
      </c>
      <c r="G159" s="420">
        <f>(28.98/(193.03+141.45+157.86+28.98))*100</f>
        <v>5.5589657024476322</v>
      </c>
      <c r="H159" s="421">
        <v>2017</v>
      </c>
      <c r="I159" s="421">
        <v>4.099519130252979</v>
      </c>
      <c r="J159" s="421">
        <v>2015</v>
      </c>
      <c r="K159" s="411">
        <v>5.5293799999999997</v>
      </c>
      <c r="L159" s="411">
        <v>100</v>
      </c>
      <c r="M159" s="421">
        <v>17</v>
      </c>
      <c r="N159" s="421"/>
      <c r="O159" s="421">
        <f>(M159-K159)*0.5+K159</f>
        <v>11.26469</v>
      </c>
      <c r="P159" s="421">
        <f>(Table148[[#This Row],[Ambitious target 2030]]-Table148[[#This Row],[Model reference value]])*0.25+Table148[[#This Row],[Model reference value]]</f>
        <v>8.3970349999999989</v>
      </c>
      <c r="Q159" s="421">
        <v>0</v>
      </c>
      <c r="R159" s="421">
        <f>Table148[[#This Row],[Ambitious target 2030]]*3</f>
        <v>51</v>
      </c>
      <c r="S159" s="421"/>
      <c r="T159" s="421">
        <f>(Table148[[#This Row],[Ambitious target 2050]]-Table148[[#This Row],[Model reference value]])*0.5+Table148[[#This Row],[Model reference value]]</f>
        <v>28.264689999999998</v>
      </c>
      <c r="U159" s="421">
        <f>(Table148[[#This Row],[Ambitious target 2050]]-Table148[[#This Row],[Model reference value]])*0.25+Table148[[#This Row],[Model reference value]]</f>
        <v>16.897034999999999</v>
      </c>
      <c r="V159" s="421">
        <f>Table148[[#This Row],[Ambitious target 2030]]*5</f>
        <v>85</v>
      </c>
      <c r="W159" s="421"/>
      <c r="X159" s="421">
        <f>(Table148[[#This Row],[Ambitious target 2100]]-Table148[[#This Row],[Model reference value]])*0.5+Table148[[#This Row],[Model reference value]]</f>
        <v>45.264690000000002</v>
      </c>
      <c r="Y159" s="421">
        <f>(Table148[[#This Row],[Ambitious target 2100]]-Table148[[#This Row],[Model reference value]])*0.25+Table148[[#This Row],[Model reference value]]</f>
        <v>25.397034999999999</v>
      </c>
      <c r="Z159" s="421">
        <f>K159</f>
        <v>5.5293799999999997</v>
      </c>
      <c r="AA159" s="421" t="s">
        <v>985</v>
      </c>
      <c r="AB159" s="421" t="s">
        <v>1175</v>
      </c>
      <c r="AC159" s="419" t="s">
        <v>688</v>
      </c>
      <c r="AD159" s="377" t="s">
        <v>738</v>
      </c>
      <c r="AE159" s="360" t="s">
        <v>1082</v>
      </c>
      <c r="AF159" s="360"/>
      <c r="AG159" s="360"/>
      <c r="AH159" s="360"/>
      <c r="AI159" s="360"/>
    </row>
    <row r="160" spans="1:35" hidden="1" x14ac:dyDescent="0.25">
      <c r="A160" s="390"/>
      <c r="B160" s="369"/>
      <c r="C160" s="369"/>
      <c r="D160" s="369"/>
      <c r="E160" s="379"/>
      <c r="F160" s="380"/>
      <c r="G160" s="381"/>
      <c r="H160" s="421"/>
      <c r="I160" s="375"/>
      <c r="J160" s="375"/>
      <c r="K160" s="375"/>
      <c r="L160" s="375">
        <f>Table148[[#This Row],[Ambitious target 2030]]+Table148[[#This Row],[Ambitious target 2030]]*0.5</f>
        <v>0</v>
      </c>
      <c r="M160" s="375"/>
      <c r="N160" s="375"/>
      <c r="O160" s="375"/>
      <c r="P160" s="375"/>
      <c r="Q160" s="375">
        <f>Table148[[#This Row],[Red target]]-Table148[[#This Row],[Red target]]*0.5</f>
        <v>0</v>
      </c>
      <c r="R160" s="375"/>
      <c r="S160" s="375"/>
      <c r="T160" s="375"/>
      <c r="U160" s="375"/>
      <c r="V160" s="375"/>
      <c r="W160" s="375"/>
      <c r="X160" s="375"/>
      <c r="Y160" s="375"/>
      <c r="Z160" s="375"/>
      <c r="AA160" s="375"/>
      <c r="AB160" s="375"/>
      <c r="AC160" s="401"/>
      <c r="AD160" s="360"/>
      <c r="AE160" s="360"/>
      <c r="AF160" s="360"/>
      <c r="AG160" s="360"/>
      <c r="AH160" s="360"/>
      <c r="AI160" s="360"/>
    </row>
    <row r="161" spans="1:35" hidden="1" x14ac:dyDescent="0.25">
      <c r="A161" s="390"/>
      <c r="B161" s="369"/>
      <c r="C161" s="369"/>
      <c r="D161" s="369"/>
      <c r="E161" s="379"/>
      <c r="F161" s="380"/>
      <c r="G161" s="381"/>
      <c r="H161" s="421"/>
      <c r="I161" s="375"/>
      <c r="J161" s="375"/>
      <c r="K161" s="375"/>
      <c r="L161" s="375">
        <f>Table148[[#This Row],[Ambitious target 2030]]+Table148[[#This Row],[Ambitious target 2030]]*0.5</f>
        <v>0</v>
      </c>
      <c r="M161" s="375"/>
      <c r="N161" s="375"/>
      <c r="O161" s="375"/>
      <c r="P161" s="375"/>
      <c r="Q161" s="375">
        <f>Table148[[#This Row],[Red target]]-Table148[[#This Row],[Red target]]*0.5</f>
        <v>0</v>
      </c>
      <c r="R161" s="375"/>
      <c r="S161" s="375"/>
      <c r="T161" s="375"/>
      <c r="U161" s="375"/>
      <c r="V161" s="375"/>
      <c r="W161" s="375"/>
      <c r="X161" s="375"/>
      <c r="Y161" s="375"/>
      <c r="Z161" s="375"/>
      <c r="AA161" s="375"/>
      <c r="AB161" s="375"/>
      <c r="AC161" s="396"/>
      <c r="AD161" s="360"/>
      <c r="AE161" s="360"/>
      <c r="AF161" s="360"/>
      <c r="AG161" s="360"/>
      <c r="AH161" s="360"/>
      <c r="AI161" s="360"/>
    </row>
    <row r="162" spans="1:35" hidden="1" x14ac:dyDescent="0.25">
      <c r="A162" s="390"/>
      <c r="B162" s="369"/>
      <c r="C162" s="369"/>
      <c r="D162" s="369"/>
      <c r="E162" s="379"/>
      <c r="F162" s="380"/>
      <c r="G162" s="381"/>
      <c r="H162" s="421"/>
      <c r="I162" s="375"/>
      <c r="J162" s="375"/>
      <c r="K162" s="375"/>
      <c r="L162" s="375">
        <f>Table148[[#This Row],[Ambitious target 2030]]+Table148[[#This Row],[Ambitious target 2030]]*0.5</f>
        <v>0</v>
      </c>
      <c r="M162" s="375"/>
      <c r="N162" s="375"/>
      <c r="O162" s="375"/>
      <c r="P162" s="375"/>
      <c r="Q162" s="375">
        <f>Table148[[#This Row],[Red target]]-Table148[[#This Row],[Red target]]*0.5</f>
        <v>0</v>
      </c>
      <c r="R162" s="375"/>
      <c r="S162" s="375"/>
      <c r="T162" s="375"/>
      <c r="U162" s="375"/>
      <c r="V162" s="375"/>
      <c r="W162" s="375"/>
      <c r="X162" s="375"/>
      <c r="Y162" s="375"/>
      <c r="Z162" s="375"/>
      <c r="AA162" s="375"/>
      <c r="AB162" s="375"/>
      <c r="AC162" s="396"/>
      <c r="AD162" s="360"/>
      <c r="AE162" s="360"/>
      <c r="AF162" s="360"/>
      <c r="AG162" s="360"/>
      <c r="AH162" s="360"/>
      <c r="AI162" s="360"/>
    </row>
    <row r="163" spans="1:35" hidden="1" x14ac:dyDescent="0.25">
      <c r="A163" s="390"/>
      <c r="B163" s="369"/>
      <c r="C163" s="369"/>
      <c r="D163" s="369"/>
      <c r="E163" s="379"/>
      <c r="F163" s="380"/>
      <c r="G163" s="381"/>
      <c r="H163" s="421"/>
      <c r="I163" s="375"/>
      <c r="J163" s="375"/>
      <c r="K163" s="375"/>
      <c r="L163" s="375">
        <f>Table148[[#This Row],[Ambitious target 2030]]+Table148[[#This Row],[Ambitious target 2030]]*0.5</f>
        <v>0</v>
      </c>
      <c r="M163" s="375"/>
      <c r="N163" s="375"/>
      <c r="O163" s="375"/>
      <c r="P163" s="375"/>
      <c r="Q163" s="375">
        <f>Table148[[#This Row],[Red target]]-Table148[[#This Row],[Red target]]*0.5</f>
        <v>0</v>
      </c>
      <c r="R163" s="375"/>
      <c r="S163" s="375"/>
      <c r="T163" s="375"/>
      <c r="U163" s="375"/>
      <c r="V163" s="375"/>
      <c r="W163" s="375"/>
      <c r="X163" s="375"/>
      <c r="Y163" s="375"/>
      <c r="Z163" s="375"/>
      <c r="AA163" s="375"/>
      <c r="AB163" s="375"/>
      <c r="AC163" s="396"/>
      <c r="AD163" s="360"/>
      <c r="AE163" s="360"/>
      <c r="AF163" s="360"/>
      <c r="AG163" s="360"/>
      <c r="AH163" s="360"/>
      <c r="AI163" s="360"/>
    </row>
    <row r="164" spans="1:35" hidden="1" x14ac:dyDescent="0.25">
      <c r="A164" s="390"/>
      <c r="B164" s="369"/>
      <c r="C164" s="369"/>
      <c r="D164" s="369"/>
      <c r="E164" s="379"/>
      <c r="F164" s="380"/>
      <c r="G164" s="381"/>
      <c r="H164" s="421"/>
      <c r="I164" s="375"/>
      <c r="J164" s="375"/>
      <c r="K164" s="375"/>
      <c r="L164" s="375">
        <f>Table148[[#This Row],[Ambitious target 2030]]+Table148[[#This Row],[Ambitious target 2030]]*0.5</f>
        <v>0</v>
      </c>
      <c r="M164" s="375"/>
      <c r="N164" s="375"/>
      <c r="O164" s="375"/>
      <c r="P164" s="375"/>
      <c r="Q164" s="375">
        <f>Table148[[#This Row],[Red target]]-Table148[[#This Row],[Red target]]*0.5</f>
        <v>0</v>
      </c>
      <c r="R164" s="375"/>
      <c r="S164" s="375"/>
      <c r="T164" s="375"/>
      <c r="U164" s="375"/>
      <c r="V164" s="375"/>
      <c r="W164" s="375"/>
      <c r="X164" s="375"/>
      <c r="Y164" s="375"/>
      <c r="Z164" s="375"/>
      <c r="AA164" s="375"/>
      <c r="AB164" s="375"/>
      <c r="AC164" s="396"/>
      <c r="AD164" s="360"/>
      <c r="AE164" s="360"/>
      <c r="AF164" s="360"/>
      <c r="AG164" s="360"/>
      <c r="AH164" s="360"/>
      <c r="AI164" s="360"/>
    </row>
    <row r="165" spans="1:35" hidden="1" x14ac:dyDescent="0.25">
      <c r="A165" s="390"/>
      <c r="B165" s="369"/>
      <c r="C165" s="369"/>
      <c r="D165" s="369"/>
      <c r="E165" s="382"/>
      <c r="F165" s="383"/>
      <c r="G165" s="384"/>
      <c r="H165" s="421"/>
      <c r="I165" s="375"/>
      <c r="J165" s="375"/>
      <c r="K165" s="375"/>
      <c r="L165" s="375">
        <f>Table148[[#This Row],[Ambitious target 2030]]+Table148[[#This Row],[Ambitious target 2030]]*0.5</f>
        <v>0</v>
      </c>
      <c r="M165" s="375"/>
      <c r="N165" s="375"/>
      <c r="O165" s="375"/>
      <c r="P165" s="375"/>
      <c r="Q165" s="375">
        <f>Table148[[#This Row],[Red target]]-Table148[[#This Row],[Red target]]*0.5</f>
        <v>0</v>
      </c>
      <c r="R165" s="375"/>
      <c r="S165" s="375"/>
      <c r="T165" s="375"/>
      <c r="U165" s="375"/>
      <c r="V165" s="375"/>
      <c r="W165" s="375"/>
      <c r="X165" s="375"/>
      <c r="Y165" s="375"/>
      <c r="Z165" s="375"/>
      <c r="AA165" s="375"/>
      <c r="AB165" s="375"/>
      <c r="AC165" s="396"/>
      <c r="AD165" s="360"/>
      <c r="AE165" s="360"/>
      <c r="AF165" s="360"/>
      <c r="AG165" s="360"/>
      <c r="AH165" s="360"/>
      <c r="AI165" s="360"/>
    </row>
    <row r="166" spans="1:35" hidden="1" x14ac:dyDescent="0.25">
      <c r="A166" s="390"/>
      <c r="B166" s="369"/>
      <c r="C166" s="369"/>
      <c r="D166" s="369"/>
      <c r="E166" s="382"/>
      <c r="F166" s="383"/>
      <c r="G166" s="384"/>
      <c r="H166" s="421"/>
      <c r="I166" s="375"/>
      <c r="J166" s="375"/>
      <c r="K166" s="375"/>
      <c r="L166" s="375">
        <f>Table148[[#This Row],[Ambitious target 2030]]+Table148[[#This Row],[Ambitious target 2030]]*0.5</f>
        <v>0</v>
      </c>
      <c r="M166" s="375"/>
      <c r="N166" s="375"/>
      <c r="O166" s="375"/>
      <c r="P166" s="375"/>
      <c r="Q166" s="375">
        <f>Table148[[#This Row],[Red target]]-Table148[[#This Row],[Red target]]*0.5</f>
        <v>0</v>
      </c>
      <c r="R166" s="375"/>
      <c r="S166" s="375"/>
      <c r="T166" s="375"/>
      <c r="U166" s="375"/>
      <c r="V166" s="375"/>
      <c r="W166" s="375"/>
      <c r="X166" s="375"/>
      <c r="Y166" s="375"/>
      <c r="Z166" s="375"/>
      <c r="AA166" s="375"/>
      <c r="AB166" s="375"/>
      <c r="AC166" s="396"/>
      <c r="AD166" s="360"/>
      <c r="AE166" s="360"/>
      <c r="AF166" s="360"/>
      <c r="AG166" s="360"/>
      <c r="AH166" s="360"/>
      <c r="AI166" s="360"/>
    </row>
    <row r="167" spans="1:35" hidden="1" x14ac:dyDescent="0.25">
      <c r="A167" s="390"/>
      <c r="B167" s="369"/>
      <c r="C167" s="369"/>
      <c r="D167" s="369"/>
      <c r="E167" s="382"/>
      <c r="F167" s="383"/>
      <c r="G167" s="384"/>
      <c r="H167" s="421"/>
      <c r="I167" s="375"/>
      <c r="J167" s="375"/>
      <c r="K167" s="375"/>
      <c r="L167" s="375">
        <f>Table148[[#This Row],[Ambitious target 2030]]+Table148[[#This Row],[Ambitious target 2030]]*0.5</f>
        <v>0</v>
      </c>
      <c r="M167" s="375"/>
      <c r="N167" s="375"/>
      <c r="O167" s="375"/>
      <c r="P167" s="375"/>
      <c r="Q167" s="375">
        <f>Table148[[#This Row],[Red target]]-Table148[[#This Row],[Red target]]*0.5</f>
        <v>0</v>
      </c>
      <c r="R167" s="375"/>
      <c r="S167" s="375"/>
      <c r="T167" s="375"/>
      <c r="U167" s="375"/>
      <c r="V167" s="375"/>
      <c r="W167" s="375"/>
      <c r="X167" s="375"/>
      <c r="Y167" s="375"/>
      <c r="Z167" s="375"/>
      <c r="AA167" s="375"/>
      <c r="AB167" s="375"/>
      <c r="AC167" s="396"/>
      <c r="AD167" s="360"/>
      <c r="AE167" s="360"/>
      <c r="AF167" s="360"/>
      <c r="AG167" s="360"/>
      <c r="AH167" s="360"/>
      <c r="AI167" s="360"/>
    </row>
    <row r="168" spans="1:35" hidden="1" x14ac:dyDescent="0.25">
      <c r="A168" s="390"/>
      <c r="B168" s="369"/>
      <c r="C168" s="369"/>
      <c r="D168" s="369"/>
      <c r="E168" s="382"/>
      <c r="F168" s="383"/>
      <c r="G168" s="384"/>
      <c r="H168" s="421"/>
      <c r="I168" s="375"/>
      <c r="J168" s="375"/>
      <c r="K168" s="375"/>
      <c r="L168" s="375">
        <f>Table148[[#This Row],[Ambitious target 2030]]+Table148[[#This Row],[Ambitious target 2030]]*0.5</f>
        <v>0</v>
      </c>
      <c r="M168" s="375"/>
      <c r="N168" s="375"/>
      <c r="O168" s="375"/>
      <c r="P168" s="375"/>
      <c r="Q168" s="375">
        <f>Table148[[#This Row],[Red target]]-Table148[[#This Row],[Red target]]*0.5</f>
        <v>0</v>
      </c>
      <c r="R168" s="375"/>
      <c r="S168" s="375"/>
      <c r="T168" s="375"/>
      <c r="U168" s="375"/>
      <c r="V168" s="375"/>
      <c r="W168" s="375"/>
      <c r="X168" s="375"/>
      <c r="Y168" s="375"/>
      <c r="Z168" s="375"/>
      <c r="AA168" s="375"/>
      <c r="AB168" s="375"/>
      <c r="AC168" s="396"/>
      <c r="AD168" s="360"/>
      <c r="AE168" s="360"/>
      <c r="AF168" s="360"/>
      <c r="AG168" s="360"/>
      <c r="AH168" s="360"/>
      <c r="AI168" s="360"/>
    </row>
    <row r="169" spans="1:35" hidden="1" x14ac:dyDescent="0.25">
      <c r="A169" s="390"/>
      <c r="B169" s="369"/>
      <c r="C169" s="369"/>
      <c r="D169" s="369"/>
      <c r="E169" s="382"/>
      <c r="F169" s="383"/>
      <c r="G169" s="384"/>
      <c r="H169" s="421"/>
      <c r="I169" s="375"/>
      <c r="J169" s="375"/>
      <c r="K169" s="375"/>
      <c r="L169" s="375">
        <f>Table148[[#This Row],[Ambitious target 2030]]+Table148[[#This Row],[Ambitious target 2030]]*0.5</f>
        <v>0</v>
      </c>
      <c r="M169" s="375"/>
      <c r="N169" s="375"/>
      <c r="O169" s="375"/>
      <c r="P169" s="375"/>
      <c r="Q169" s="375">
        <f>Table148[[#This Row],[Red target]]-Table148[[#This Row],[Red target]]*0.5</f>
        <v>0</v>
      </c>
      <c r="R169" s="375"/>
      <c r="S169" s="375"/>
      <c r="T169" s="375"/>
      <c r="U169" s="375"/>
      <c r="V169" s="375"/>
      <c r="W169" s="375"/>
      <c r="X169" s="375"/>
      <c r="Y169" s="375"/>
      <c r="Z169" s="375"/>
      <c r="AA169" s="375"/>
      <c r="AB169" s="375"/>
      <c r="AC169" s="396"/>
      <c r="AD169" s="360"/>
      <c r="AE169" s="360"/>
      <c r="AF169" s="360"/>
      <c r="AG169" s="360"/>
      <c r="AH169" s="360"/>
      <c r="AI169" s="360"/>
    </row>
    <row r="170" spans="1:35" s="386" customFormat="1" hidden="1" x14ac:dyDescent="0.25">
      <c r="A170" s="409"/>
      <c r="B170" s="406"/>
      <c r="C170" s="406"/>
      <c r="D170" s="406"/>
      <c r="E170" s="407">
        <v>2017</v>
      </c>
      <c r="F170" s="407">
        <v>2018</v>
      </c>
      <c r="G170" s="407">
        <v>2019</v>
      </c>
      <c r="H170" s="407"/>
      <c r="I170" s="407"/>
      <c r="J170" s="407"/>
      <c r="K170" s="407"/>
      <c r="L170" s="407">
        <f>Table148[[#This Row],[Ambitious target 2030]]+Table148[[#This Row],[Ambitious target 2030]]*0.5</f>
        <v>0</v>
      </c>
      <c r="M170" s="407"/>
      <c r="N170" s="407"/>
      <c r="O170" s="407"/>
      <c r="P170" s="407"/>
      <c r="Q170" s="407">
        <f>Table148[[#This Row],[Red target]]-Table148[[#This Row],[Red target]]*0.5</f>
        <v>0</v>
      </c>
      <c r="R170" s="407"/>
      <c r="S170" s="407"/>
      <c r="T170" s="407"/>
      <c r="U170" s="407"/>
      <c r="V170" s="407"/>
      <c r="W170" s="407"/>
      <c r="X170" s="407"/>
      <c r="Y170" s="407"/>
      <c r="Z170" s="407"/>
      <c r="AA170" s="407"/>
      <c r="AB170" s="407"/>
      <c r="AC170" s="416"/>
    </row>
    <row r="171" spans="1:35" x14ac:dyDescent="0.25">
      <c r="A171" s="418" t="s">
        <v>736</v>
      </c>
      <c r="B171" s="437" t="s">
        <v>1078</v>
      </c>
      <c r="C171" s="437" t="s">
        <v>473</v>
      </c>
      <c r="D171" s="436" t="s">
        <v>904</v>
      </c>
      <c r="E171" s="420">
        <f>((4607+3141.9+3718.4)/(4607+3141.9+3718.4+490.2))*100</f>
        <v>95.900480869747014</v>
      </c>
      <c r="F171" s="420">
        <f>((4662.1+3309.4+3772.1)/(4662.1+3309.4+3772.1+561.3))*100</f>
        <v>95.438402587587063</v>
      </c>
      <c r="G171" s="420">
        <f>((193.03+141.45+157.86)/(193.03+141.45+157.86+28.98))*100</f>
        <v>94.441034297552363</v>
      </c>
      <c r="H171" s="421">
        <v>2014</v>
      </c>
      <c r="I171" s="421">
        <v>95.900480869747014</v>
      </c>
      <c r="J171" s="421">
        <v>2015</v>
      </c>
      <c r="K171" s="411">
        <v>93.835099999999997</v>
      </c>
      <c r="L171" s="411">
        <v>0</v>
      </c>
      <c r="M171" s="421">
        <v>76</v>
      </c>
      <c r="N171" s="421"/>
      <c r="O171" s="421">
        <f>(M171-K171)*0.5+K171</f>
        <v>84.917550000000006</v>
      </c>
      <c r="P171" s="421">
        <f>(Table148[[#This Row],[Ambitious target 2030]]-Table148[[#This Row],[Model reference value]])*0.25+Table148[[#This Row],[Model reference value]]</f>
        <v>89.376324999999994</v>
      </c>
      <c r="Q171" s="421">
        <v>100</v>
      </c>
      <c r="R171" s="421">
        <f>100-R159</f>
        <v>49</v>
      </c>
      <c r="S171" s="421"/>
      <c r="T171" s="421">
        <f>(Table148[[#This Row],[Ambitious target 2050]]-Table148[[#This Row],[Model reference value]])*0.5+Table148[[#This Row],[Model reference value]]</f>
        <v>71.417550000000006</v>
      </c>
      <c r="U171" s="421">
        <f>(Table148[[#This Row],[Ambitious target 2050]]-Table148[[#This Row],[Model reference value]])*0.25+Table148[[#This Row],[Model reference value]]</f>
        <v>82.626324999999994</v>
      </c>
      <c r="V171" s="421">
        <f>100-V159</f>
        <v>15</v>
      </c>
      <c r="W171" s="421"/>
      <c r="X171" s="421">
        <f>(Table148[[#This Row],[Ambitious target 2100]]-Table148[[#This Row],[Model reference value]])*0.5+Table148[[#This Row],[Model reference value]]</f>
        <v>54.417549999999999</v>
      </c>
      <c r="Y171" s="421">
        <f>(Table148[[#This Row],[Ambitious target 2100]]-Table148[[#This Row],[Model reference value]])*0.25+Table148[[#This Row],[Model reference value]]</f>
        <v>74.126324999999994</v>
      </c>
      <c r="Z171" s="421">
        <f>K171</f>
        <v>93.835099999999997</v>
      </c>
      <c r="AA171" s="421" t="s">
        <v>985</v>
      </c>
      <c r="AB171" s="421" t="s">
        <v>1176</v>
      </c>
      <c r="AC171" s="360" t="s">
        <v>1082</v>
      </c>
      <c r="AD171" s="426" t="s">
        <v>739</v>
      </c>
      <c r="AE171" s="360"/>
      <c r="AF171" s="360"/>
      <c r="AG171" s="360"/>
      <c r="AH171" s="360"/>
      <c r="AI171" s="360"/>
    </row>
    <row r="172" spans="1:35" hidden="1" x14ac:dyDescent="0.25">
      <c r="A172" s="390"/>
      <c r="B172" s="369"/>
      <c r="C172" s="369"/>
      <c r="D172" s="369"/>
      <c r="E172" s="379"/>
      <c r="F172" s="380"/>
      <c r="G172" s="381"/>
      <c r="H172" s="421"/>
      <c r="I172" s="375"/>
      <c r="J172" s="375"/>
      <c r="K172" s="375"/>
      <c r="L172" s="375">
        <f>Table148[[#This Row],[Ambitious target 2030]]+Table148[[#This Row],[Ambitious target 2030]]*0.5</f>
        <v>0</v>
      </c>
      <c r="M172" s="375"/>
      <c r="N172" s="375"/>
      <c r="O172" s="375"/>
      <c r="P172" s="375"/>
      <c r="Q172" s="375">
        <f>Table148[[#This Row],[Red target]]-Table148[[#This Row],[Red target]]*0.5</f>
        <v>0</v>
      </c>
      <c r="R172" s="375"/>
      <c r="S172" s="375"/>
      <c r="T172" s="375"/>
      <c r="U172" s="375"/>
      <c r="V172" s="375"/>
      <c r="W172" s="375"/>
      <c r="X172" s="375"/>
      <c r="Y172" s="375"/>
      <c r="Z172" s="375"/>
      <c r="AA172" s="375"/>
      <c r="AB172" s="375"/>
      <c r="AC172" s="396"/>
      <c r="AD172" s="360"/>
      <c r="AE172" s="360"/>
      <c r="AF172" s="360"/>
      <c r="AG172" s="360"/>
      <c r="AH172" s="360"/>
      <c r="AI172" s="360"/>
    </row>
    <row r="173" spans="1:35" hidden="1" x14ac:dyDescent="0.25">
      <c r="A173" s="390"/>
      <c r="B173" s="369"/>
      <c r="C173" s="369"/>
      <c r="D173" s="369"/>
      <c r="E173" s="379"/>
      <c r="F173" s="380"/>
      <c r="G173" s="381"/>
      <c r="H173" s="421"/>
      <c r="I173" s="375"/>
      <c r="J173" s="375"/>
      <c r="K173" s="375"/>
      <c r="L173" s="375">
        <f>Table148[[#This Row],[Ambitious target 2030]]+Table148[[#This Row],[Ambitious target 2030]]*0.5</f>
        <v>0</v>
      </c>
      <c r="M173" s="375"/>
      <c r="N173" s="375"/>
      <c r="O173" s="375"/>
      <c r="P173" s="375"/>
      <c r="Q173" s="375">
        <f>Table148[[#This Row],[Red target]]-Table148[[#This Row],[Red target]]*0.5</f>
        <v>0</v>
      </c>
      <c r="R173" s="375"/>
      <c r="S173" s="375"/>
      <c r="T173" s="375"/>
      <c r="U173" s="375"/>
      <c r="V173" s="375"/>
      <c r="W173" s="375"/>
      <c r="X173" s="375"/>
      <c r="Y173" s="375"/>
      <c r="Z173" s="375"/>
      <c r="AA173" s="375"/>
      <c r="AB173" s="375"/>
      <c r="AC173" s="396"/>
      <c r="AD173" s="360"/>
      <c r="AE173" s="360"/>
      <c r="AF173" s="360"/>
      <c r="AG173" s="360"/>
      <c r="AH173" s="360"/>
      <c r="AI173" s="360"/>
    </row>
    <row r="174" spans="1:35" hidden="1" x14ac:dyDescent="0.25">
      <c r="A174" s="390"/>
      <c r="B174" s="369"/>
      <c r="C174" s="369"/>
      <c r="D174" s="369"/>
      <c r="E174" s="379"/>
      <c r="F174" s="380"/>
      <c r="G174" s="381"/>
      <c r="H174" s="421"/>
      <c r="I174" s="375"/>
      <c r="J174" s="375"/>
      <c r="K174" s="375"/>
      <c r="L174" s="375">
        <f>Table148[[#This Row],[Ambitious target 2030]]+Table148[[#This Row],[Ambitious target 2030]]*0.5</f>
        <v>0</v>
      </c>
      <c r="M174" s="375"/>
      <c r="N174" s="375"/>
      <c r="O174" s="375"/>
      <c r="P174" s="375"/>
      <c r="Q174" s="375">
        <f>Table148[[#This Row],[Red target]]-Table148[[#This Row],[Red target]]*0.5</f>
        <v>0</v>
      </c>
      <c r="R174" s="375"/>
      <c r="S174" s="375"/>
      <c r="T174" s="375"/>
      <c r="U174" s="375"/>
      <c r="V174" s="375"/>
      <c r="W174" s="375"/>
      <c r="X174" s="375"/>
      <c r="Y174" s="375"/>
      <c r="Z174" s="375"/>
      <c r="AA174" s="375"/>
      <c r="AB174" s="375"/>
      <c r="AC174" s="396"/>
      <c r="AD174" s="360"/>
      <c r="AE174" s="360"/>
      <c r="AF174" s="360"/>
      <c r="AG174" s="360"/>
      <c r="AH174" s="360"/>
      <c r="AI174" s="360"/>
    </row>
    <row r="175" spans="1:35" hidden="1" x14ac:dyDescent="0.25">
      <c r="A175" s="390"/>
      <c r="B175" s="369"/>
      <c r="C175" s="369"/>
      <c r="D175" s="369"/>
      <c r="E175" s="379"/>
      <c r="F175" s="380"/>
      <c r="G175" s="381"/>
      <c r="H175" s="421"/>
      <c r="I175" s="375"/>
      <c r="J175" s="375"/>
      <c r="K175" s="375"/>
      <c r="L175" s="375">
        <f>Table148[[#This Row],[Ambitious target 2030]]+Table148[[#This Row],[Ambitious target 2030]]*0.5</f>
        <v>0</v>
      </c>
      <c r="M175" s="375"/>
      <c r="N175" s="375"/>
      <c r="O175" s="375"/>
      <c r="P175" s="375"/>
      <c r="Q175" s="375">
        <f>Table148[[#This Row],[Red target]]-Table148[[#This Row],[Red target]]*0.5</f>
        <v>0</v>
      </c>
      <c r="R175" s="375"/>
      <c r="S175" s="375"/>
      <c r="T175" s="375"/>
      <c r="U175" s="375"/>
      <c r="V175" s="375"/>
      <c r="W175" s="375"/>
      <c r="X175" s="375"/>
      <c r="Y175" s="375"/>
      <c r="Z175" s="375"/>
      <c r="AA175" s="375"/>
      <c r="AB175" s="375"/>
      <c r="AC175" s="396"/>
      <c r="AD175" s="360"/>
      <c r="AE175" s="360"/>
      <c r="AF175" s="360"/>
      <c r="AG175" s="360"/>
      <c r="AH175" s="360"/>
      <c r="AI175" s="360"/>
    </row>
    <row r="176" spans="1:35" hidden="1" x14ac:dyDescent="0.25">
      <c r="A176" s="390"/>
      <c r="B176" s="369"/>
      <c r="C176" s="369"/>
      <c r="D176" s="369"/>
      <c r="E176" s="379"/>
      <c r="F176" s="380"/>
      <c r="G176" s="381"/>
      <c r="H176" s="421"/>
      <c r="I176" s="375"/>
      <c r="J176" s="375"/>
      <c r="K176" s="375"/>
      <c r="L176" s="375">
        <f>Table148[[#This Row],[Ambitious target 2030]]+Table148[[#This Row],[Ambitious target 2030]]*0.5</f>
        <v>0</v>
      </c>
      <c r="M176" s="375"/>
      <c r="N176" s="375"/>
      <c r="O176" s="375"/>
      <c r="P176" s="375"/>
      <c r="Q176" s="375">
        <f>Table148[[#This Row],[Red target]]-Table148[[#This Row],[Red target]]*0.5</f>
        <v>0</v>
      </c>
      <c r="R176" s="375"/>
      <c r="S176" s="375"/>
      <c r="T176" s="375"/>
      <c r="U176" s="375"/>
      <c r="V176" s="375"/>
      <c r="W176" s="375"/>
      <c r="X176" s="375"/>
      <c r="Y176" s="375"/>
      <c r="Z176" s="375"/>
      <c r="AA176" s="375"/>
      <c r="AB176" s="375"/>
      <c r="AC176" s="396"/>
      <c r="AD176" s="360"/>
      <c r="AE176" s="360"/>
      <c r="AF176" s="360"/>
      <c r="AG176" s="360"/>
      <c r="AH176" s="360"/>
      <c r="AI176" s="360"/>
    </row>
    <row r="177" spans="1:35" hidden="1" x14ac:dyDescent="0.25">
      <c r="A177" s="390"/>
      <c r="B177" s="369"/>
      <c r="C177" s="369"/>
      <c r="D177" s="369"/>
      <c r="E177" s="382"/>
      <c r="F177" s="383"/>
      <c r="G177" s="384"/>
      <c r="H177" s="421"/>
      <c r="I177" s="375"/>
      <c r="J177" s="375"/>
      <c r="K177" s="375"/>
      <c r="L177" s="375">
        <f>Table148[[#This Row],[Ambitious target 2030]]+Table148[[#This Row],[Ambitious target 2030]]*0.5</f>
        <v>0</v>
      </c>
      <c r="M177" s="375"/>
      <c r="N177" s="375"/>
      <c r="O177" s="375"/>
      <c r="P177" s="375"/>
      <c r="Q177" s="375">
        <f>Table148[[#This Row],[Red target]]-Table148[[#This Row],[Red target]]*0.5</f>
        <v>0</v>
      </c>
      <c r="R177" s="375"/>
      <c r="S177" s="375"/>
      <c r="T177" s="375"/>
      <c r="U177" s="375"/>
      <c r="V177" s="375"/>
      <c r="W177" s="375"/>
      <c r="X177" s="375"/>
      <c r="Y177" s="375"/>
      <c r="Z177" s="375"/>
      <c r="AA177" s="375"/>
      <c r="AB177" s="375"/>
      <c r="AC177" s="396"/>
      <c r="AD177" s="360"/>
      <c r="AE177" s="360"/>
      <c r="AF177" s="360"/>
      <c r="AG177" s="360"/>
      <c r="AH177" s="360"/>
      <c r="AI177" s="360"/>
    </row>
    <row r="178" spans="1:35" hidden="1" x14ac:dyDescent="0.25">
      <c r="A178" s="390"/>
      <c r="B178" s="369"/>
      <c r="C178" s="369"/>
      <c r="D178" s="369"/>
      <c r="E178" s="382"/>
      <c r="F178" s="383"/>
      <c r="G178" s="384"/>
      <c r="H178" s="421"/>
      <c r="I178" s="375"/>
      <c r="J178" s="375"/>
      <c r="K178" s="375"/>
      <c r="L178" s="375">
        <f>Table148[[#This Row],[Ambitious target 2030]]+Table148[[#This Row],[Ambitious target 2030]]*0.5</f>
        <v>0</v>
      </c>
      <c r="M178" s="375"/>
      <c r="N178" s="375"/>
      <c r="O178" s="375"/>
      <c r="P178" s="375"/>
      <c r="Q178" s="375">
        <f>Table148[[#This Row],[Red target]]-Table148[[#This Row],[Red target]]*0.5</f>
        <v>0</v>
      </c>
      <c r="R178" s="375"/>
      <c r="S178" s="375"/>
      <c r="T178" s="375"/>
      <c r="U178" s="375"/>
      <c r="V178" s="375"/>
      <c r="W178" s="375"/>
      <c r="X178" s="375"/>
      <c r="Y178" s="375"/>
      <c r="Z178" s="375"/>
      <c r="AA178" s="375"/>
      <c r="AB178" s="375"/>
      <c r="AC178" s="396"/>
      <c r="AD178" s="360"/>
      <c r="AE178" s="360"/>
      <c r="AF178" s="360"/>
      <c r="AG178" s="360"/>
      <c r="AH178" s="360"/>
      <c r="AI178" s="360"/>
    </row>
    <row r="179" spans="1:35" hidden="1" x14ac:dyDescent="0.25">
      <c r="A179" s="390"/>
      <c r="B179" s="369"/>
      <c r="C179" s="369"/>
      <c r="D179" s="369"/>
      <c r="E179" s="382"/>
      <c r="F179" s="383"/>
      <c r="G179" s="384"/>
      <c r="H179" s="421"/>
      <c r="I179" s="375"/>
      <c r="J179" s="375"/>
      <c r="K179" s="375"/>
      <c r="L179" s="375">
        <f>Table148[[#This Row],[Ambitious target 2030]]+Table148[[#This Row],[Ambitious target 2030]]*0.5</f>
        <v>0</v>
      </c>
      <c r="M179" s="375"/>
      <c r="N179" s="375"/>
      <c r="O179" s="375"/>
      <c r="P179" s="375"/>
      <c r="Q179" s="375">
        <f>Table148[[#This Row],[Red target]]-Table148[[#This Row],[Red target]]*0.5</f>
        <v>0</v>
      </c>
      <c r="R179" s="375"/>
      <c r="S179" s="375"/>
      <c r="T179" s="375"/>
      <c r="U179" s="375"/>
      <c r="V179" s="375"/>
      <c r="W179" s="375"/>
      <c r="X179" s="375"/>
      <c r="Y179" s="375"/>
      <c r="Z179" s="375"/>
      <c r="AA179" s="375"/>
      <c r="AB179" s="375"/>
      <c r="AC179" s="396"/>
      <c r="AD179" s="360"/>
      <c r="AE179" s="360"/>
      <c r="AF179" s="360"/>
      <c r="AG179" s="360"/>
      <c r="AH179" s="360"/>
      <c r="AI179" s="360"/>
    </row>
    <row r="180" spans="1:35" hidden="1" x14ac:dyDescent="0.25">
      <c r="A180" s="390"/>
      <c r="B180" s="369"/>
      <c r="C180" s="369"/>
      <c r="D180" s="369"/>
      <c r="E180" s="382"/>
      <c r="F180" s="383"/>
      <c r="G180" s="384"/>
      <c r="H180" s="421"/>
      <c r="I180" s="375"/>
      <c r="J180" s="375"/>
      <c r="K180" s="375"/>
      <c r="L180" s="375">
        <f>Table148[[#This Row],[Ambitious target 2030]]+Table148[[#This Row],[Ambitious target 2030]]*0.5</f>
        <v>0</v>
      </c>
      <c r="M180" s="375"/>
      <c r="N180" s="375"/>
      <c r="O180" s="375"/>
      <c r="P180" s="375"/>
      <c r="Q180" s="375">
        <f>Table148[[#This Row],[Red target]]-Table148[[#This Row],[Red target]]*0.5</f>
        <v>0</v>
      </c>
      <c r="R180" s="375"/>
      <c r="S180" s="375"/>
      <c r="T180" s="375"/>
      <c r="U180" s="375"/>
      <c r="V180" s="375"/>
      <c r="W180" s="375"/>
      <c r="X180" s="375"/>
      <c r="Y180" s="375"/>
      <c r="Z180" s="375"/>
      <c r="AA180" s="375"/>
      <c r="AB180" s="375"/>
      <c r="AC180" s="396"/>
      <c r="AD180" s="360"/>
      <c r="AE180" s="360"/>
      <c r="AF180" s="360"/>
      <c r="AG180" s="360"/>
      <c r="AH180" s="360"/>
      <c r="AI180" s="360"/>
    </row>
    <row r="181" spans="1:35" hidden="1" x14ac:dyDescent="0.25">
      <c r="A181" s="390"/>
      <c r="B181" s="369"/>
      <c r="C181" s="369"/>
      <c r="D181" s="369"/>
      <c r="E181" s="382"/>
      <c r="F181" s="383"/>
      <c r="G181" s="384"/>
      <c r="H181" s="421"/>
      <c r="I181" s="375"/>
      <c r="J181" s="375"/>
      <c r="K181" s="375"/>
      <c r="L181" s="375">
        <f>Table148[[#This Row],[Ambitious target 2030]]+Table148[[#This Row],[Ambitious target 2030]]*0.5</f>
        <v>0</v>
      </c>
      <c r="M181" s="375"/>
      <c r="N181" s="375"/>
      <c r="O181" s="375"/>
      <c r="P181" s="375"/>
      <c r="Q181" s="375">
        <f>Table148[[#This Row],[Red target]]-Table148[[#This Row],[Red target]]*0.5</f>
        <v>0</v>
      </c>
      <c r="R181" s="375"/>
      <c r="S181" s="375"/>
      <c r="T181" s="375"/>
      <c r="U181" s="375"/>
      <c r="V181" s="375"/>
      <c r="W181" s="375"/>
      <c r="X181" s="375"/>
      <c r="Y181" s="375"/>
      <c r="Z181" s="375"/>
      <c r="AA181" s="375"/>
      <c r="AB181" s="375"/>
      <c r="AC181" s="396"/>
      <c r="AD181" s="360"/>
      <c r="AE181" s="360"/>
      <c r="AF181" s="360"/>
      <c r="AG181" s="360"/>
      <c r="AH181" s="360"/>
      <c r="AI181" s="360"/>
    </row>
    <row r="182" spans="1:35" s="387" customFormat="1" hidden="1" x14ac:dyDescent="0.25">
      <c r="A182" s="410"/>
      <c r="B182" s="415"/>
      <c r="C182" s="415"/>
      <c r="D182" s="415"/>
      <c r="E182" s="417">
        <v>2005</v>
      </c>
      <c r="F182" s="417">
        <v>2010</v>
      </c>
      <c r="G182" s="417">
        <v>2020</v>
      </c>
      <c r="H182" s="417"/>
      <c r="I182" s="417"/>
      <c r="J182" s="417"/>
      <c r="K182" s="417"/>
      <c r="L182" s="417">
        <f>Table148[[#This Row],[Ambitious target 2030]]+Table148[[#This Row],[Ambitious target 2030]]*0.5</f>
        <v>0</v>
      </c>
      <c r="M182" s="417"/>
      <c r="N182" s="417"/>
      <c r="O182" s="417"/>
      <c r="P182" s="417"/>
      <c r="Q182" s="417">
        <f>Table148[[#This Row],[Red target]]-Table148[[#This Row],[Red target]]*0.5</f>
        <v>0</v>
      </c>
      <c r="R182" s="417"/>
      <c r="S182" s="417"/>
      <c r="T182" s="417"/>
      <c r="U182" s="417"/>
      <c r="V182" s="417"/>
      <c r="W182" s="417"/>
      <c r="X182" s="417"/>
      <c r="Y182" s="417"/>
      <c r="Z182" s="417"/>
      <c r="AA182" s="417"/>
      <c r="AB182" s="417"/>
      <c r="AC182" s="412"/>
    </row>
    <row r="183" spans="1:35" s="362" customFormat="1" x14ac:dyDescent="0.25">
      <c r="A183" s="418" t="s">
        <v>953</v>
      </c>
      <c r="B183" s="436" t="s">
        <v>21</v>
      </c>
      <c r="C183" s="437" t="s">
        <v>959</v>
      </c>
      <c r="D183" s="436" t="s">
        <v>1084</v>
      </c>
      <c r="E183" s="420">
        <v>1.0200000000000001E-2</v>
      </c>
      <c r="F183" s="420">
        <v>0.11550000000000001</v>
      </c>
      <c r="G183" s="420">
        <v>0.29909999999999998</v>
      </c>
      <c r="H183" s="421">
        <v>2020</v>
      </c>
      <c r="I183" s="421">
        <v>0.29909999999999998</v>
      </c>
      <c r="J183" s="421">
        <v>2015</v>
      </c>
      <c r="K183" s="411">
        <v>0.180646</v>
      </c>
      <c r="L183" s="411">
        <f>Table148[[#This Row],[Ambitious target 2030]]+Table148[[#This Row],[Ambitious target 2030]]*0.5</f>
        <v>3.5999999999999996</v>
      </c>
      <c r="M183" s="421">
        <v>2.4</v>
      </c>
      <c r="N183" s="421"/>
      <c r="O183" s="421">
        <f>(M183-K183)*0.5+K183</f>
        <v>1.2903230000000001</v>
      </c>
      <c r="P183" s="421">
        <f>(Table148[[#This Row],[Ambitious target 2030]]-Table148[[#This Row],[Model reference value]])*0.25+Table148[[#This Row],[Model reference value]]</f>
        <v>0.73548449999999999</v>
      </c>
      <c r="Q183" s="421">
        <f>Table148[[#This Row],[Red target]]-Table148[[#This Row],[Red target]]*0.5</f>
        <v>9.0323000000000001E-2</v>
      </c>
      <c r="R183" s="421">
        <v>29.439</v>
      </c>
      <c r="S183" s="421"/>
      <c r="T183" s="421">
        <f>(Table148[[#This Row],[Ambitious target 2050]]-Table148[[#This Row],[Model reference value]])*0.5+Table148[[#This Row],[Model reference value]]</f>
        <v>14.809823</v>
      </c>
      <c r="U183" s="421">
        <f>(Table148[[#This Row],[Ambitious target 2050]]-Table148[[#This Row],[Model reference value]])*0.25+Table148[[#This Row],[Model reference value]]</f>
        <v>7.4952345000000005</v>
      </c>
      <c r="V183" s="421">
        <v>117.854</v>
      </c>
      <c r="W183" s="421"/>
      <c r="X183" s="421">
        <f>(Table148[[#This Row],[Ambitious target 2100]]-Table148[[#This Row],[Model reference value]])*0.5+Table148[[#This Row],[Model reference value]]</f>
        <v>59.017323000000005</v>
      </c>
      <c r="Y183" s="421">
        <f>(Table148[[#This Row],[Ambitious target 2100]]-Table148[[#This Row],[Model reference value]])*0.25+Table148[[#This Row],[Model reference value]]</f>
        <v>29.5989845</v>
      </c>
      <c r="Z183" s="421">
        <f>K183</f>
        <v>0.180646</v>
      </c>
      <c r="AA183" s="421" t="s">
        <v>985</v>
      </c>
      <c r="AB183" s="421" t="s">
        <v>1178</v>
      </c>
      <c r="AC183" s="419" t="s">
        <v>979</v>
      </c>
      <c r="AD183" s="371" t="s">
        <v>1134</v>
      </c>
    </row>
    <row r="184" spans="1:35" s="362" customFormat="1" hidden="1" x14ac:dyDescent="0.25">
      <c r="A184" s="389"/>
      <c r="B184" s="372"/>
      <c r="C184" s="372"/>
      <c r="D184" s="372"/>
      <c r="E184" s="379"/>
      <c r="F184" s="380"/>
      <c r="G184" s="381"/>
      <c r="H184" s="421"/>
      <c r="I184" s="375"/>
      <c r="J184" s="375"/>
      <c r="K184" s="375"/>
      <c r="L184" s="375">
        <f>Table148[[#This Row],[Ambitious target 2030]]+Table148[[#This Row],[Ambitious target 2030]]*0.5</f>
        <v>0</v>
      </c>
      <c r="M184" s="375"/>
      <c r="N184" s="375"/>
      <c r="O184" s="375"/>
      <c r="P184" s="375"/>
      <c r="Q184" s="375">
        <f>Table148[[#This Row],[Red target]]-Table148[[#This Row],[Red target]]*0.5</f>
        <v>0</v>
      </c>
      <c r="R184" s="375"/>
      <c r="S184" s="375"/>
      <c r="T184" s="375"/>
      <c r="U184" s="375"/>
      <c r="V184" s="375"/>
      <c r="W184" s="375"/>
      <c r="X184" s="375"/>
      <c r="Y184" s="375"/>
      <c r="Z184" s="375"/>
      <c r="AA184" s="375"/>
      <c r="AB184" s="375"/>
      <c r="AC184" s="399"/>
    </row>
    <row r="185" spans="1:35" s="362" customFormat="1" hidden="1" x14ac:dyDescent="0.25">
      <c r="A185" s="389"/>
      <c r="B185" s="372"/>
      <c r="C185" s="372"/>
      <c r="D185" s="372"/>
      <c r="E185" s="379"/>
      <c r="F185" s="380"/>
      <c r="G185" s="381"/>
      <c r="H185" s="421"/>
      <c r="I185" s="375"/>
      <c r="J185" s="375"/>
      <c r="K185" s="375"/>
      <c r="L185" s="375">
        <f>Table148[[#This Row],[Ambitious target 2030]]+Table148[[#This Row],[Ambitious target 2030]]*0.5</f>
        <v>0</v>
      </c>
      <c r="M185" s="375"/>
      <c r="N185" s="375"/>
      <c r="O185" s="375"/>
      <c r="P185" s="375"/>
      <c r="Q185" s="375">
        <f>Table148[[#This Row],[Red target]]-Table148[[#This Row],[Red target]]*0.5</f>
        <v>0</v>
      </c>
      <c r="R185" s="375"/>
      <c r="S185" s="375"/>
      <c r="T185" s="375"/>
      <c r="U185" s="375"/>
      <c r="V185" s="375"/>
      <c r="W185" s="375"/>
      <c r="X185" s="375"/>
      <c r="Y185" s="375"/>
      <c r="Z185" s="375"/>
      <c r="AA185" s="375"/>
      <c r="AB185" s="375"/>
      <c r="AC185" s="399"/>
    </row>
    <row r="186" spans="1:35" s="362" customFormat="1" hidden="1" x14ac:dyDescent="0.25">
      <c r="A186" s="389"/>
      <c r="B186" s="372"/>
      <c r="C186" s="372"/>
      <c r="D186" s="372"/>
      <c r="E186" s="379"/>
      <c r="F186" s="380"/>
      <c r="G186" s="381"/>
      <c r="H186" s="421"/>
      <c r="I186" s="375"/>
      <c r="J186" s="375"/>
      <c r="K186" s="375"/>
      <c r="L186" s="375">
        <f>Table148[[#This Row],[Ambitious target 2030]]+Table148[[#This Row],[Ambitious target 2030]]*0.5</f>
        <v>0</v>
      </c>
      <c r="M186" s="375"/>
      <c r="N186" s="375"/>
      <c r="O186" s="375"/>
      <c r="P186" s="375"/>
      <c r="Q186" s="375">
        <f>Table148[[#This Row],[Red target]]-Table148[[#This Row],[Red target]]*0.5</f>
        <v>0</v>
      </c>
      <c r="R186" s="375"/>
      <c r="S186" s="375"/>
      <c r="T186" s="375"/>
      <c r="U186" s="375"/>
      <c r="V186" s="375"/>
      <c r="W186" s="375"/>
      <c r="X186" s="375"/>
      <c r="Y186" s="375"/>
      <c r="Z186" s="375"/>
      <c r="AA186" s="375"/>
      <c r="AB186" s="375"/>
      <c r="AC186" s="399"/>
    </row>
    <row r="187" spans="1:35" s="362" customFormat="1" hidden="1" x14ac:dyDescent="0.25">
      <c r="A187" s="389"/>
      <c r="B187" s="372"/>
      <c r="C187" s="372"/>
      <c r="D187" s="372"/>
      <c r="E187" s="379"/>
      <c r="F187" s="380"/>
      <c r="G187" s="381"/>
      <c r="H187" s="421"/>
      <c r="I187" s="375"/>
      <c r="J187" s="375"/>
      <c r="K187" s="375"/>
      <c r="L187" s="431">
        <f>Table148[[#This Row],[Ambitious target 2030]]+Table148[[#This Row],[Ambitious target 2030]]*0.5</f>
        <v>0</v>
      </c>
      <c r="M187" s="375"/>
      <c r="N187" s="375"/>
      <c r="O187" s="431"/>
      <c r="P187" s="431"/>
      <c r="Q187" s="431">
        <f>Table148[[#This Row],[Red target]]-Table148[[#This Row],[Red target]]*0.5</f>
        <v>0</v>
      </c>
      <c r="R187" s="431"/>
      <c r="S187" s="431"/>
      <c r="T187" s="431"/>
      <c r="U187" s="431"/>
      <c r="V187" s="431"/>
      <c r="W187" s="431"/>
      <c r="X187" s="431"/>
      <c r="Y187" s="431"/>
      <c r="Z187" s="431"/>
      <c r="AA187" s="375"/>
      <c r="AB187" s="375"/>
      <c r="AC187" s="399"/>
    </row>
    <row r="188" spans="1:35" s="362" customFormat="1" hidden="1" x14ac:dyDescent="0.25">
      <c r="A188" s="389"/>
      <c r="B188" s="372"/>
      <c r="C188" s="372"/>
      <c r="D188" s="372"/>
      <c r="E188" s="379"/>
      <c r="F188" s="380"/>
      <c r="G188" s="381"/>
      <c r="H188" s="421"/>
      <c r="I188" s="375"/>
      <c r="J188" s="375"/>
      <c r="K188" s="375"/>
      <c r="L188" s="431">
        <f>Table148[[#This Row],[Ambitious target 2030]]+Table148[[#This Row],[Ambitious target 2030]]*0.5</f>
        <v>0</v>
      </c>
      <c r="M188" s="375"/>
      <c r="N188" s="375"/>
      <c r="O188" s="431"/>
      <c r="P188" s="431"/>
      <c r="Q188" s="431">
        <f>Table148[[#This Row],[Red target]]-Table148[[#This Row],[Red target]]*0.5</f>
        <v>0</v>
      </c>
      <c r="R188" s="431"/>
      <c r="S188" s="431"/>
      <c r="T188" s="431"/>
      <c r="U188" s="431"/>
      <c r="V188" s="431"/>
      <c r="W188" s="431"/>
      <c r="X188" s="431"/>
      <c r="Y188" s="431"/>
      <c r="Z188" s="431"/>
      <c r="AA188" s="375"/>
      <c r="AB188" s="375"/>
      <c r="AC188" s="399"/>
    </row>
    <row r="189" spans="1:35" s="362" customFormat="1" hidden="1" x14ac:dyDescent="0.25">
      <c r="A189" s="389"/>
      <c r="B189" s="372"/>
      <c r="C189" s="372"/>
      <c r="D189" s="372"/>
      <c r="E189" s="382"/>
      <c r="F189" s="383"/>
      <c r="G189" s="384"/>
      <c r="H189" s="421"/>
      <c r="I189" s="375"/>
      <c r="J189" s="375"/>
      <c r="K189" s="375"/>
      <c r="L189" s="375">
        <f>Table148[[#This Row],[Ambitious target 2030]]+Table148[[#This Row],[Ambitious target 2030]]*0.5</f>
        <v>0</v>
      </c>
      <c r="M189" s="375"/>
      <c r="N189" s="375"/>
      <c r="O189" s="375"/>
      <c r="P189" s="375"/>
      <c r="Q189" s="375">
        <f>Table148[[#This Row],[Red target]]-Table148[[#This Row],[Red target]]*0.5</f>
        <v>0</v>
      </c>
      <c r="R189" s="375"/>
      <c r="S189" s="375"/>
      <c r="T189" s="375"/>
      <c r="U189" s="375"/>
      <c r="V189" s="375"/>
      <c r="W189" s="375"/>
      <c r="X189" s="375"/>
      <c r="Y189" s="375"/>
      <c r="Z189" s="375"/>
      <c r="AA189" s="375"/>
      <c r="AB189" s="375"/>
      <c r="AC189" s="399"/>
    </row>
    <row r="190" spans="1:35" s="362" customFormat="1" hidden="1" x14ac:dyDescent="0.25">
      <c r="A190" s="389"/>
      <c r="B190" s="372"/>
      <c r="C190" s="372"/>
      <c r="D190" s="372"/>
      <c r="E190" s="382"/>
      <c r="F190" s="383"/>
      <c r="G190" s="384"/>
      <c r="H190" s="421"/>
      <c r="I190" s="375"/>
      <c r="J190" s="375"/>
      <c r="K190" s="375"/>
      <c r="L190" s="375">
        <f>Table148[[#This Row],[Ambitious target 2030]]+Table148[[#This Row],[Ambitious target 2030]]*0.5</f>
        <v>0</v>
      </c>
      <c r="M190" s="375"/>
      <c r="N190" s="375"/>
      <c r="O190" s="375"/>
      <c r="P190" s="375"/>
      <c r="Q190" s="375">
        <f>Table148[[#This Row],[Red target]]-Table148[[#This Row],[Red target]]*0.5</f>
        <v>0</v>
      </c>
      <c r="R190" s="375"/>
      <c r="S190" s="375"/>
      <c r="T190" s="375"/>
      <c r="U190" s="375"/>
      <c r="V190" s="375"/>
      <c r="W190" s="375"/>
      <c r="X190" s="375"/>
      <c r="Y190" s="375"/>
      <c r="Z190" s="375"/>
      <c r="AA190" s="375"/>
      <c r="AB190" s="375"/>
      <c r="AC190" s="399"/>
    </row>
    <row r="191" spans="1:35" s="362" customFormat="1" hidden="1" x14ac:dyDescent="0.25">
      <c r="A191" s="389"/>
      <c r="B191" s="372"/>
      <c r="C191" s="372"/>
      <c r="D191" s="372"/>
      <c r="E191" s="382"/>
      <c r="F191" s="383"/>
      <c r="G191" s="384"/>
      <c r="H191" s="421"/>
      <c r="I191" s="375"/>
      <c r="J191" s="375"/>
      <c r="K191" s="375"/>
      <c r="L191" s="431">
        <f>Table148[[#This Row],[Ambitious target 2030]]+Table148[[#This Row],[Ambitious target 2030]]*0.5</f>
        <v>0</v>
      </c>
      <c r="M191" s="375"/>
      <c r="N191" s="375"/>
      <c r="O191" s="431"/>
      <c r="P191" s="431"/>
      <c r="Q191" s="431">
        <f>Table148[[#This Row],[Red target]]-Table148[[#This Row],[Red target]]*0.5</f>
        <v>0</v>
      </c>
      <c r="R191" s="431"/>
      <c r="S191" s="431"/>
      <c r="T191" s="431"/>
      <c r="U191" s="431"/>
      <c r="V191" s="431"/>
      <c r="W191" s="431"/>
      <c r="X191" s="431"/>
      <c r="Y191" s="431"/>
      <c r="Z191" s="431"/>
      <c r="AA191" s="375"/>
      <c r="AB191" s="375"/>
      <c r="AC191" s="399"/>
    </row>
    <row r="192" spans="1:35" s="362" customFormat="1" hidden="1" x14ac:dyDescent="0.25">
      <c r="A192" s="389"/>
      <c r="B192" s="372"/>
      <c r="C192" s="372"/>
      <c r="D192" s="372"/>
      <c r="E192" s="382"/>
      <c r="F192" s="383"/>
      <c r="G192" s="384"/>
      <c r="H192" s="421"/>
      <c r="I192" s="375"/>
      <c r="J192" s="375"/>
      <c r="K192" s="375"/>
      <c r="L192" s="431">
        <f>Table148[[#This Row],[Ambitious target 2030]]+Table148[[#This Row],[Ambitious target 2030]]*0.5</f>
        <v>0</v>
      </c>
      <c r="M192" s="375"/>
      <c r="N192" s="375"/>
      <c r="O192" s="431"/>
      <c r="P192" s="431"/>
      <c r="Q192" s="431">
        <f>Table148[[#This Row],[Red target]]-Table148[[#This Row],[Red target]]*0.5</f>
        <v>0</v>
      </c>
      <c r="R192" s="431"/>
      <c r="S192" s="431"/>
      <c r="T192" s="431"/>
      <c r="U192" s="431"/>
      <c r="V192" s="431"/>
      <c r="W192" s="431"/>
      <c r="X192" s="431"/>
      <c r="Y192" s="431"/>
      <c r="Z192" s="431"/>
      <c r="AA192" s="375"/>
      <c r="AB192" s="375"/>
      <c r="AC192" s="399"/>
    </row>
    <row r="193" spans="1:30" s="362" customFormat="1" hidden="1" x14ac:dyDescent="0.25">
      <c r="A193" s="389"/>
      <c r="B193" s="372"/>
      <c r="C193" s="372"/>
      <c r="D193" s="372"/>
      <c r="E193" s="382"/>
      <c r="F193" s="383"/>
      <c r="G193" s="384"/>
      <c r="H193" s="421"/>
      <c r="I193" s="375"/>
      <c r="J193" s="375"/>
      <c r="K193" s="375"/>
      <c r="L193" s="431">
        <f>Table148[[#This Row],[Ambitious target 2030]]+Table148[[#This Row],[Ambitious target 2030]]*0.5</f>
        <v>0</v>
      </c>
      <c r="M193" s="375"/>
      <c r="N193" s="375"/>
      <c r="O193" s="431"/>
      <c r="P193" s="431"/>
      <c r="Q193" s="431">
        <f>Table148[[#This Row],[Red target]]-Table148[[#This Row],[Red target]]*0.5</f>
        <v>0</v>
      </c>
      <c r="R193" s="431"/>
      <c r="S193" s="431"/>
      <c r="T193" s="431"/>
      <c r="U193" s="431"/>
      <c r="V193" s="431"/>
      <c r="W193" s="431"/>
      <c r="X193" s="431"/>
      <c r="Y193" s="431"/>
      <c r="Z193" s="431"/>
      <c r="AA193" s="375"/>
      <c r="AB193" s="375"/>
      <c r="AC193" s="399"/>
    </row>
    <row r="194" spans="1:30" s="387" customFormat="1" hidden="1" x14ac:dyDescent="0.25">
      <c r="A194" s="410"/>
      <c r="B194" s="415"/>
      <c r="C194" s="415"/>
      <c r="D194" s="434"/>
      <c r="E194" s="417">
        <v>2005</v>
      </c>
      <c r="F194" s="417">
        <v>2010</v>
      </c>
      <c r="G194" s="417">
        <v>2020</v>
      </c>
      <c r="H194" s="417"/>
      <c r="I194" s="417"/>
      <c r="J194" s="417"/>
      <c r="K194" s="417"/>
      <c r="L194" s="417">
        <f>Table148[[#This Row],[Ambitious target 2030]]+Table148[[#This Row],[Ambitious target 2030]]*0.5</f>
        <v>0</v>
      </c>
      <c r="M194" s="417"/>
      <c r="N194" s="417"/>
      <c r="O194" s="417"/>
      <c r="P194" s="417"/>
      <c r="Q194" s="417">
        <f>Table148[[#This Row],[Red target]]-Table148[[#This Row],[Red target]]*0.5</f>
        <v>0</v>
      </c>
      <c r="R194" s="417"/>
      <c r="S194" s="417"/>
      <c r="T194" s="417"/>
      <c r="U194" s="417"/>
      <c r="V194" s="417"/>
      <c r="W194" s="417"/>
      <c r="X194" s="417"/>
      <c r="Y194" s="417"/>
      <c r="Z194" s="417"/>
      <c r="AA194" s="417"/>
      <c r="AB194" s="417"/>
      <c r="AC194" s="412"/>
    </row>
    <row r="195" spans="1:30" s="362" customFormat="1" x14ac:dyDescent="0.25">
      <c r="A195" s="418" t="s">
        <v>954</v>
      </c>
      <c r="B195" s="436" t="s">
        <v>22</v>
      </c>
      <c r="C195" s="437" t="s">
        <v>959</v>
      </c>
      <c r="D195" s="436" t="s">
        <v>1084</v>
      </c>
      <c r="E195" s="420">
        <v>0.36770000000000003</v>
      </c>
      <c r="F195" s="420">
        <v>0.57010000000000005</v>
      </c>
      <c r="G195" s="420">
        <v>1.1954</v>
      </c>
      <c r="H195" s="421">
        <v>2020</v>
      </c>
      <c r="I195" s="421">
        <v>1.1954</v>
      </c>
      <c r="J195" s="421">
        <v>2015</v>
      </c>
      <c r="K195" s="411">
        <v>0.14058100000000001</v>
      </c>
      <c r="L195" s="411">
        <f>Table148[[#This Row],[Ambitious target 2030]]+Table148[[#This Row],[Ambitious target 2030]]*0.5</f>
        <v>11.850000000000001</v>
      </c>
      <c r="M195" s="421">
        <v>7.9</v>
      </c>
      <c r="N195" s="421"/>
      <c r="O195" s="421">
        <f>(M195-K195)*0.5+K195</f>
        <v>4.0202904999999998</v>
      </c>
      <c r="P195" s="421">
        <f>(Table148[[#This Row],[Ambitious target 2030]]-Table148[[#This Row],[Model reference value]])*0.25+Table148[[#This Row],[Model reference value]]</f>
        <v>2.0804357499999999</v>
      </c>
      <c r="Q195" s="421">
        <f>Table148[[#This Row],[Red target]]-Table148[[#This Row],[Red target]]*0.5</f>
        <v>7.0290500000000006E-2</v>
      </c>
      <c r="R195" s="421">
        <v>24.614999999999998</v>
      </c>
      <c r="S195" s="421"/>
      <c r="T195" s="421">
        <f>(Table148[[#This Row],[Ambitious target 2050]]-Table148[[#This Row],[Model reference value]])*0.5+Table148[[#This Row],[Model reference value]]</f>
        <v>12.377790499999998</v>
      </c>
      <c r="U195" s="421">
        <f>(Table148[[#This Row],[Ambitious target 2050]]-Table148[[#This Row],[Model reference value]])*0.25+Table148[[#This Row],[Model reference value]]</f>
        <v>6.2591857499999994</v>
      </c>
      <c r="V195" s="421">
        <v>84.51</v>
      </c>
      <c r="W195" s="421"/>
      <c r="X195" s="421">
        <f>(Table148[[#This Row],[Ambitious target 2100]]-Table148[[#This Row],[Model reference value]])*0.5+Table148[[#This Row],[Model reference value]]</f>
        <v>42.325290500000001</v>
      </c>
      <c r="Y195" s="421">
        <f>(Table148[[#This Row],[Ambitious target 2100]]-Table148[[#This Row],[Model reference value]])*0.25+Table148[[#This Row],[Model reference value]]</f>
        <v>21.232935750000003</v>
      </c>
      <c r="Z195" s="421">
        <f>K195</f>
        <v>0.14058100000000001</v>
      </c>
      <c r="AA195" s="421" t="s">
        <v>985</v>
      </c>
      <c r="AB195" s="421" t="s">
        <v>1179</v>
      </c>
      <c r="AC195" s="419" t="s">
        <v>979</v>
      </c>
      <c r="AD195" s="371" t="s">
        <v>1133</v>
      </c>
    </row>
    <row r="196" spans="1:30" s="362" customFormat="1" hidden="1" x14ac:dyDescent="0.25">
      <c r="A196" s="389"/>
      <c r="B196" s="372"/>
      <c r="C196" s="372"/>
      <c r="D196" s="372"/>
      <c r="E196" s="379"/>
      <c r="F196" s="380"/>
      <c r="G196" s="381"/>
      <c r="H196" s="421"/>
      <c r="I196" s="375"/>
      <c r="J196" s="375"/>
      <c r="K196" s="375"/>
      <c r="L196" s="375">
        <f>Table148[[#This Row],[Ambitious target 2030]]+Table148[[#This Row],[Ambitious target 2030]]*0.5</f>
        <v>0</v>
      </c>
      <c r="M196" s="375"/>
      <c r="N196" s="375"/>
      <c r="O196" s="375"/>
      <c r="P196" s="375"/>
      <c r="Q196" s="375">
        <f>Table148[[#This Row],[Red target]]-Table148[[#This Row],[Red target]]*0.5</f>
        <v>0</v>
      </c>
      <c r="R196" s="375"/>
      <c r="S196" s="375"/>
      <c r="T196" s="375"/>
      <c r="U196" s="375"/>
      <c r="V196" s="375"/>
      <c r="W196" s="375"/>
      <c r="X196" s="375"/>
      <c r="Y196" s="375"/>
      <c r="Z196" s="375"/>
      <c r="AA196" s="375"/>
      <c r="AB196" s="375"/>
      <c r="AC196" s="399"/>
    </row>
    <row r="197" spans="1:30" s="362" customFormat="1" hidden="1" x14ac:dyDescent="0.25">
      <c r="A197" s="389"/>
      <c r="B197" s="372"/>
      <c r="C197" s="372"/>
      <c r="D197" s="372"/>
      <c r="E197" s="379"/>
      <c r="F197" s="380"/>
      <c r="G197" s="381"/>
      <c r="H197" s="421"/>
      <c r="I197" s="375"/>
      <c r="J197" s="375"/>
      <c r="K197" s="375"/>
      <c r="L197" s="375">
        <f>Table148[[#This Row],[Ambitious target 2030]]+Table148[[#This Row],[Ambitious target 2030]]*0.5</f>
        <v>0</v>
      </c>
      <c r="M197" s="375"/>
      <c r="N197" s="375"/>
      <c r="O197" s="375"/>
      <c r="P197" s="375"/>
      <c r="Q197" s="375">
        <f>Table148[[#This Row],[Red target]]-Table148[[#This Row],[Red target]]*0.5</f>
        <v>0</v>
      </c>
      <c r="R197" s="375"/>
      <c r="S197" s="375"/>
      <c r="T197" s="375"/>
      <c r="U197" s="375"/>
      <c r="V197" s="375"/>
      <c r="W197" s="375"/>
      <c r="X197" s="375"/>
      <c r="Y197" s="375"/>
      <c r="Z197" s="375"/>
      <c r="AA197" s="375"/>
      <c r="AB197" s="375"/>
      <c r="AC197" s="399"/>
    </row>
    <row r="198" spans="1:30" s="362" customFormat="1" hidden="1" x14ac:dyDescent="0.25">
      <c r="A198" s="389"/>
      <c r="B198" s="372"/>
      <c r="C198" s="372"/>
      <c r="D198" s="372"/>
      <c r="E198" s="379"/>
      <c r="F198" s="380"/>
      <c r="G198" s="381"/>
      <c r="H198" s="421"/>
      <c r="I198" s="375"/>
      <c r="J198" s="375"/>
      <c r="K198" s="375"/>
      <c r="L198" s="375">
        <f>Table148[[#This Row],[Ambitious target 2030]]+Table148[[#This Row],[Ambitious target 2030]]*0.5</f>
        <v>0</v>
      </c>
      <c r="M198" s="375"/>
      <c r="N198" s="375"/>
      <c r="O198" s="375"/>
      <c r="P198" s="375"/>
      <c r="Q198" s="375">
        <f>Table148[[#This Row],[Red target]]-Table148[[#This Row],[Red target]]*0.5</f>
        <v>0</v>
      </c>
      <c r="R198" s="375"/>
      <c r="S198" s="375"/>
      <c r="T198" s="375"/>
      <c r="U198" s="375"/>
      <c r="V198" s="375"/>
      <c r="W198" s="375"/>
      <c r="X198" s="375"/>
      <c r="Y198" s="375"/>
      <c r="Z198" s="375"/>
      <c r="AA198" s="375"/>
      <c r="AB198" s="375"/>
      <c r="AC198" s="399"/>
    </row>
    <row r="199" spans="1:30" s="362" customFormat="1" hidden="1" x14ac:dyDescent="0.25">
      <c r="A199" s="389"/>
      <c r="B199" s="372"/>
      <c r="C199" s="372"/>
      <c r="D199" s="372"/>
      <c r="E199" s="379"/>
      <c r="F199" s="380"/>
      <c r="G199" s="381"/>
      <c r="H199" s="421"/>
      <c r="I199" s="375"/>
      <c r="J199" s="375"/>
      <c r="K199" s="375"/>
      <c r="L199" s="431">
        <f>Table148[[#This Row],[Ambitious target 2030]]+Table148[[#This Row],[Ambitious target 2030]]*0.5</f>
        <v>0</v>
      </c>
      <c r="M199" s="375"/>
      <c r="N199" s="375"/>
      <c r="O199" s="431"/>
      <c r="P199" s="431"/>
      <c r="Q199" s="431">
        <f>Table148[[#This Row],[Red target]]-Table148[[#This Row],[Red target]]*0.5</f>
        <v>0</v>
      </c>
      <c r="R199" s="431"/>
      <c r="S199" s="431"/>
      <c r="T199" s="431"/>
      <c r="U199" s="431"/>
      <c r="V199" s="431"/>
      <c r="W199" s="431"/>
      <c r="X199" s="431"/>
      <c r="Y199" s="431"/>
      <c r="Z199" s="431"/>
      <c r="AA199" s="375"/>
      <c r="AB199" s="375"/>
      <c r="AC199" s="399"/>
    </row>
    <row r="200" spans="1:30" s="362" customFormat="1" hidden="1" x14ac:dyDescent="0.25">
      <c r="A200" s="389"/>
      <c r="B200" s="372"/>
      <c r="C200" s="372"/>
      <c r="D200" s="372"/>
      <c r="E200" s="379"/>
      <c r="F200" s="380"/>
      <c r="G200" s="381"/>
      <c r="H200" s="421"/>
      <c r="I200" s="375"/>
      <c r="J200" s="375"/>
      <c r="K200" s="375"/>
      <c r="L200" s="431">
        <f>Table148[[#This Row],[Ambitious target 2030]]+Table148[[#This Row],[Ambitious target 2030]]*0.5</f>
        <v>0</v>
      </c>
      <c r="M200" s="375"/>
      <c r="N200" s="375"/>
      <c r="O200" s="431"/>
      <c r="P200" s="431"/>
      <c r="Q200" s="431">
        <f>Table148[[#This Row],[Red target]]-Table148[[#This Row],[Red target]]*0.5</f>
        <v>0</v>
      </c>
      <c r="R200" s="431"/>
      <c r="S200" s="431"/>
      <c r="T200" s="431"/>
      <c r="U200" s="431"/>
      <c r="V200" s="431"/>
      <c r="W200" s="431"/>
      <c r="X200" s="431"/>
      <c r="Y200" s="431"/>
      <c r="Z200" s="431"/>
      <c r="AA200" s="375"/>
      <c r="AB200" s="375"/>
      <c r="AC200" s="399"/>
    </row>
    <row r="201" spans="1:30" s="362" customFormat="1" hidden="1" x14ac:dyDescent="0.25">
      <c r="A201" s="389"/>
      <c r="B201" s="372"/>
      <c r="C201" s="372"/>
      <c r="D201" s="372"/>
      <c r="E201" s="382"/>
      <c r="F201" s="383"/>
      <c r="G201" s="384"/>
      <c r="H201" s="421"/>
      <c r="I201" s="375"/>
      <c r="J201" s="375"/>
      <c r="K201" s="375"/>
      <c r="L201" s="375">
        <f>Table148[[#This Row],[Ambitious target 2030]]+Table148[[#This Row],[Ambitious target 2030]]*0.5</f>
        <v>0</v>
      </c>
      <c r="M201" s="375"/>
      <c r="N201" s="375"/>
      <c r="O201" s="375"/>
      <c r="P201" s="375"/>
      <c r="Q201" s="375">
        <f>Table148[[#This Row],[Red target]]-Table148[[#This Row],[Red target]]*0.5</f>
        <v>0</v>
      </c>
      <c r="R201" s="375"/>
      <c r="S201" s="375"/>
      <c r="T201" s="375"/>
      <c r="U201" s="375"/>
      <c r="V201" s="375"/>
      <c r="W201" s="375"/>
      <c r="X201" s="375"/>
      <c r="Y201" s="375"/>
      <c r="Z201" s="375"/>
      <c r="AA201" s="375"/>
      <c r="AB201" s="375"/>
      <c r="AC201" s="399"/>
    </row>
    <row r="202" spans="1:30" s="362" customFormat="1" hidden="1" x14ac:dyDescent="0.25">
      <c r="A202" s="389"/>
      <c r="B202" s="372"/>
      <c r="C202" s="372"/>
      <c r="D202" s="372"/>
      <c r="E202" s="382"/>
      <c r="F202" s="383"/>
      <c r="G202" s="384"/>
      <c r="H202" s="421"/>
      <c r="I202" s="375"/>
      <c r="J202" s="375"/>
      <c r="K202" s="375"/>
      <c r="L202" s="375">
        <f>Table148[[#This Row],[Ambitious target 2030]]+Table148[[#This Row],[Ambitious target 2030]]*0.5</f>
        <v>0</v>
      </c>
      <c r="M202" s="375"/>
      <c r="N202" s="375"/>
      <c r="O202" s="375"/>
      <c r="P202" s="375"/>
      <c r="Q202" s="375">
        <f>Table148[[#This Row],[Red target]]-Table148[[#This Row],[Red target]]*0.5</f>
        <v>0</v>
      </c>
      <c r="R202" s="375"/>
      <c r="S202" s="375"/>
      <c r="T202" s="375"/>
      <c r="U202" s="375"/>
      <c r="V202" s="375"/>
      <c r="W202" s="375"/>
      <c r="X202" s="375"/>
      <c r="Y202" s="375"/>
      <c r="Z202" s="375"/>
      <c r="AA202" s="375"/>
      <c r="AB202" s="375"/>
      <c r="AC202" s="399"/>
    </row>
    <row r="203" spans="1:30" s="362" customFormat="1" hidden="1" x14ac:dyDescent="0.25">
      <c r="A203" s="389"/>
      <c r="B203" s="372"/>
      <c r="C203" s="372"/>
      <c r="D203" s="372"/>
      <c r="E203" s="382"/>
      <c r="F203" s="383"/>
      <c r="G203" s="384"/>
      <c r="H203" s="421"/>
      <c r="I203" s="375"/>
      <c r="J203" s="375"/>
      <c r="K203" s="375"/>
      <c r="L203" s="431">
        <f>Table148[[#This Row],[Ambitious target 2030]]+Table148[[#This Row],[Ambitious target 2030]]*0.5</f>
        <v>0</v>
      </c>
      <c r="M203" s="375"/>
      <c r="N203" s="375"/>
      <c r="O203" s="431"/>
      <c r="P203" s="431"/>
      <c r="Q203" s="431">
        <f>Table148[[#This Row],[Red target]]-Table148[[#This Row],[Red target]]*0.5</f>
        <v>0</v>
      </c>
      <c r="R203" s="431"/>
      <c r="S203" s="431"/>
      <c r="T203" s="431"/>
      <c r="U203" s="431"/>
      <c r="V203" s="431"/>
      <c r="W203" s="431"/>
      <c r="X203" s="431"/>
      <c r="Y203" s="431"/>
      <c r="Z203" s="431"/>
      <c r="AA203" s="375"/>
      <c r="AB203" s="375"/>
      <c r="AC203" s="399"/>
    </row>
    <row r="204" spans="1:30" s="362" customFormat="1" hidden="1" x14ac:dyDescent="0.25">
      <c r="A204" s="389"/>
      <c r="B204" s="372"/>
      <c r="C204" s="372"/>
      <c r="D204" s="372"/>
      <c r="E204" s="382"/>
      <c r="F204" s="383"/>
      <c r="G204" s="384"/>
      <c r="H204" s="421"/>
      <c r="I204" s="375"/>
      <c r="J204" s="375"/>
      <c r="K204" s="375"/>
      <c r="L204" s="431">
        <f>Table148[[#This Row],[Ambitious target 2030]]+Table148[[#This Row],[Ambitious target 2030]]*0.5</f>
        <v>0</v>
      </c>
      <c r="M204" s="375"/>
      <c r="N204" s="375"/>
      <c r="O204" s="431"/>
      <c r="P204" s="431"/>
      <c r="Q204" s="431">
        <f>Table148[[#This Row],[Red target]]-Table148[[#This Row],[Red target]]*0.5</f>
        <v>0</v>
      </c>
      <c r="R204" s="431"/>
      <c r="S204" s="431"/>
      <c r="T204" s="431"/>
      <c r="U204" s="431"/>
      <c r="V204" s="431"/>
      <c r="W204" s="431"/>
      <c r="X204" s="431"/>
      <c r="Y204" s="431"/>
      <c r="Z204" s="431"/>
      <c r="AA204" s="375"/>
      <c r="AB204" s="375"/>
      <c r="AC204" s="399"/>
    </row>
    <row r="205" spans="1:30" s="362" customFormat="1" hidden="1" x14ac:dyDescent="0.25">
      <c r="A205" s="389"/>
      <c r="B205" s="372"/>
      <c r="C205" s="372"/>
      <c r="D205" s="372"/>
      <c r="E205" s="382"/>
      <c r="F205" s="383"/>
      <c r="G205" s="384"/>
      <c r="H205" s="421"/>
      <c r="I205" s="375"/>
      <c r="J205" s="375"/>
      <c r="K205" s="375"/>
      <c r="L205" s="431">
        <f>Table148[[#This Row],[Ambitious target 2030]]+Table148[[#This Row],[Ambitious target 2030]]*0.5</f>
        <v>0</v>
      </c>
      <c r="M205" s="375"/>
      <c r="N205" s="375"/>
      <c r="O205" s="431"/>
      <c r="P205" s="431"/>
      <c r="Q205" s="431">
        <f>Table148[[#This Row],[Red target]]-Table148[[#This Row],[Red target]]*0.5</f>
        <v>0</v>
      </c>
      <c r="R205" s="431"/>
      <c r="S205" s="431"/>
      <c r="T205" s="431"/>
      <c r="U205" s="431"/>
      <c r="V205" s="431"/>
      <c r="W205" s="431"/>
      <c r="X205" s="431"/>
      <c r="Y205" s="431"/>
      <c r="Z205" s="431"/>
      <c r="AA205" s="375"/>
      <c r="AB205" s="375"/>
      <c r="AC205" s="399"/>
    </row>
    <row r="206" spans="1:30" s="387" customFormat="1" hidden="1" x14ac:dyDescent="0.25">
      <c r="A206" s="410"/>
      <c r="B206" s="415"/>
      <c r="C206" s="415"/>
      <c r="D206" s="415"/>
      <c r="E206" s="417">
        <v>2005</v>
      </c>
      <c r="F206" s="417">
        <v>2010</v>
      </c>
      <c r="G206" s="417">
        <v>2020</v>
      </c>
      <c r="H206" s="417"/>
      <c r="I206" s="417"/>
      <c r="J206" s="417"/>
      <c r="K206" s="417"/>
      <c r="L206" s="417">
        <f>Table148[[#This Row],[Ambitious target 2030]]+Table148[[#This Row],[Ambitious target 2030]]*0.5</f>
        <v>0</v>
      </c>
      <c r="M206" s="417"/>
      <c r="N206" s="417"/>
      <c r="O206" s="417"/>
      <c r="P206" s="417"/>
      <c r="Q206" s="417">
        <f>Table148[[#This Row],[Red target]]-Table148[[#This Row],[Red target]]*0.5</f>
        <v>0</v>
      </c>
      <c r="R206" s="417"/>
      <c r="S206" s="417"/>
      <c r="T206" s="417"/>
      <c r="U206" s="417"/>
      <c r="V206" s="417"/>
      <c r="W206" s="417"/>
      <c r="X206" s="417"/>
      <c r="Y206" s="417"/>
      <c r="Z206" s="417"/>
      <c r="AA206" s="417"/>
      <c r="AB206" s="417"/>
      <c r="AC206" s="412"/>
    </row>
    <row r="207" spans="1:30" s="362" customFormat="1" x14ac:dyDescent="0.25">
      <c r="A207" s="418" t="s">
        <v>955</v>
      </c>
      <c r="B207" s="436" t="s">
        <v>23</v>
      </c>
      <c r="C207" s="437" t="s">
        <v>959</v>
      </c>
      <c r="D207" s="436" t="s">
        <v>1083</v>
      </c>
      <c r="E207" s="420">
        <v>39.684927036923398</v>
      </c>
      <c r="F207" s="420">
        <v>37.299186992214103</v>
      </c>
      <c r="G207" s="420">
        <v>42.6177957241024</v>
      </c>
      <c r="H207" s="421">
        <v>2020</v>
      </c>
      <c r="I207" s="421">
        <v>42.6177957241024</v>
      </c>
      <c r="J207" s="421">
        <v>2015</v>
      </c>
      <c r="K207" s="411">
        <v>19.264299999999999</v>
      </c>
      <c r="L207" s="411">
        <f>Table148[[#This Row],[Ambitious target 2030]]+Table148[[#This Row],[Ambitious target 2030]]*0.5</f>
        <v>127.85338717230721</v>
      </c>
      <c r="M207" s="421">
        <f>Table148[[#This Row],[Data reference value]]+Table148[[#This Row],[Data reference value]]*Table148[[#This Row],[Ambitious target improvement rate 2030]]</f>
        <v>85.235591448204801</v>
      </c>
      <c r="N207" s="421">
        <v>1</v>
      </c>
      <c r="O207" s="421">
        <f>(Table148[[#This Row],[Ambitious target 2030]]-Table148[[#This Row],[Model reference value]])*0.5+Table148[[#This Row],[Model reference value]]</f>
        <v>52.249945724102396</v>
      </c>
      <c r="P207" s="421">
        <f>(Table148[[#This Row],[Ambitious target 2030]]-Table148[[#This Row],[Model reference value]])*0.25+Table148[[#This Row],[Model reference value]]</f>
        <v>35.757122862051197</v>
      </c>
      <c r="Q207" s="421">
        <f>Table148[[#This Row],[Red target]]-Table148[[#This Row],[Red target]]*0.5</f>
        <v>9.6321499999999993</v>
      </c>
      <c r="R207" s="421">
        <f>Table148[[#This Row],[Data reference value]]+Table148[[#This Row],[Data reference value]]*Table148[[#This Row],[Ambitious target improvement rate 2050]]</f>
        <v>127.85338717230721</v>
      </c>
      <c r="S207" s="421">
        <v>2</v>
      </c>
      <c r="T207" s="421">
        <f>(Table148[[#This Row],[Ambitious target 2050]]-Table148[[#This Row],[Model reference value]])*0.5+Table148[[#This Row],[Model reference value]]</f>
        <v>73.558843586153614</v>
      </c>
      <c r="U207" s="421">
        <f>(Table148[[#This Row],[Ambitious target 2050]]-Table148[[#This Row],[Model reference value]])*0.25+Table148[[#This Row],[Model reference value]]</f>
        <v>46.411571793076803</v>
      </c>
      <c r="V207" s="421">
        <f>Table148[[#This Row],[Data reference value]]+Table148[[#This Row],[Data reference value]]*Table148[[#This Row],[Ambitious target improvement rate 2100]]</f>
        <v>170.4711828964096</v>
      </c>
      <c r="W207" s="421">
        <v>3</v>
      </c>
      <c r="X207" s="421">
        <f>(Table148[[#This Row],[Ambitious target 2100]]-Table148[[#This Row],[Model reference value]])*0.5+Table148[[#This Row],[Model reference value]]</f>
        <v>94.867741448204811</v>
      </c>
      <c r="Y207" s="421">
        <f>(Table148[[#This Row],[Ambitious target 2100]]-Table148[[#This Row],[Model reference value]])*0.25+Table148[[#This Row],[Model reference value]]</f>
        <v>57.066020724102401</v>
      </c>
      <c r="Z207" s="421">
        <f>Table148[[#This Row],[Model reference value]]</f>
        <v>19.264299999999999</v>
      </c>
      <c r="AA207" s="421" t="s">
        <v>1140</v>
      </c>
      <c r="AB207" s="421" t="s">
        <v>1187</v>
      </c>
      <c r="AC207" s="419" t="s">
        <v>979</v>
      </c>
    </row>
    <row r="208" spans="1:30" s="362" customFormat="1" hidden="1" x14ac:dyDescent="0.25">
      <c r="A208" s="389"/>
      <c r="B208" s="372"/>
      <c r="C208" s="372"/>
      <c r="D208" s="372"/>
      <c r="E208" s="379"/>
      <c r="F208" s="380"/>
      <c r="G208" s="381"/>
      <c r="H208" s="421"/>
      <c r="I208" s="375"/>
      <c r="J208" s="375"/>
      <c r="K208" s="375"/>
      <c r="L208" s="375">
        <f>Table148[[#This Row],[Ambitious target 2030]]+Table148[[#This Row],[Ambitious target 2030]]*0.5</f>
        <v>0</v>
      </c>
      <c r="M208" s="375"/>
      <c r="N208" s="375"/>
      <c r="O208" s="375"/>
      <c r="P208" s="375"/>
      <c r="Q208" s="375">
        <f>Table148[[#This Row],[Red target]]-Table148[[#This Row],[Red target]]*0.5</f>
        <v>0</v>
      </c>
      <c r="R208" s="375"/>
      <c r="S208" s="375"/>
      <c r="T208" s="375"/>
      <c r="U208" s="375"/>
      <c r="V208" s="375"/>
      <c r="W208" s="375"/>
      <c r="X208" s="375"/>
      <c r="Y208" s="375"/>
      <c r="Z208" s="375"/>
      <c r="AA208" s="375"/>
      <c r="AB208" s="375"/>
      <c r="AC208" s="399"/>
    </row>
    <row r="209" spans="1:29" s="362" customFormat="1" hidden="1" x14ac:dyDescent="0.25">
      <c r="A209" s="389"/>
      <c r="B209" s="372"/>
      <c r="C209" s="372"/>
      <c r="D209" s="372"/>
      <c r="E209" s="379"/>
      <c r="F209" s="380"/>
      <c r="G209" s="381"/>
      <c r="H209" s="421"/>
      <c r="I209" s="375"/>
      <c r="J209" s="375"/>
      <c r="K209" s="375"/>
      <c r="L209" s="375">
        <f>Table148[[#This Row],[Ambitious target 2030]]+Table148[[#This Row],[Ambitious target 2030]]*0.5</f>
        <v>0</v>
      </c>
      <c r="M209" s="375"/>
      <c r="N209" s="375"/>
      <c r="O209" s="375"/>
      <c r="P209" s="375"/>
      <c r="Q209" s="375">
        <f>Table148[[#This Row],[Red target]]-Table148[[#This Row],[Red target]]*0.5</f>
        <v>0</v>
      </c>
      <c r="R209" s="375"/>
      <c r="S209" s="375"/>
      <c r="T209" s="375"/>
      <c r="U209" s="375"/>
      <c r="V209" s="375"/>
      <c r="W209" s="375"/>
      <c r="X209" s="375"/>
      <c r="Y209" s="375"/>
      <c r="Z209" s="375"/>
      <c r="AA209" s="375"/>
      <c r="AB209" s="375"/>
      <c r="AC209" s="399"/>
    </row>
    <row r="210" spans="1:29" s="362" customFormat="1" hidden="1" x14ac:dyDescent="0.25">
      <c r="A210" s="389"/>
      <c r="B210" s="372"/>
      <c r="C210" s="372"/>
      <c r="D210" s="372"/>
      <c r="E210" s="379"/>
      <c r="F210" s="380"/>
      <c r="G210" s="381"/>
      <c r="H210" s="421"/>
      <c r="I210" s="375"/>
      <c r="J210" s="375"/>
      <c r="K210" s="375"/>
      <c r="L210" s="375">
        <f>Table148[[#This Row],[Ambitious target 2030]]+Table148[[#This Row],[Ambitious target 2030]]*0.5</f>
        <v>0</v>
      </c>
      <c r="M210" s="375"/>
      <c r="N210" s="375"/>
      <c r="O210" s="375"/>
      <c r="P210" s="375"/>
      <c r="Q210" s="375">
        <f>Table148[[#This Row],[Red target]]-Table148[[#This Row],[Red target]]*0.5</f>
        <v>0</v>
      </c>
      <c r="R210" s="375"/>
      <c r="S210" s="375"/>
      <c r="T210" s="375"/>
      <c r="U210" s="375"/>
      <c r="V210" s="375"/>
      <c r="W210" s="375"/>
      <c r="X210" s="375"/>
      <c r="Y210" s="375"/>
      <c r="Z210" s="375"/>
      <c r="AA210" s="375"/>
      <c r="AB210" s="375"/>
      <c r="AC210" s="399"/>
    </row>
    <row r="211" spans="1:29" s="362" customFormat="1" hidden="1" x14ac:dyDescent="0.25">
      <c r="A211" s="389"/>
      <c r="B211" s="372"/>
      <c r="C211" s="372"/>
      <c r="D211" s="372"/>
      <c r="E211" s="379"/>
      <c r="F211" s="380"/>
      <c r="G211" s="381"/>
      <c r="H211" s="421"/>
      <c r="I211" s="375"/>
      <c r="J211" s="375"/>
      <c r="K211" s="375"/>
      <c r="L211" s="431">
        <f>Table148[[#This Row],[Ambitious target 2030]]+Table148[[#This Row],[Ambitious target 2030]]*0.5</f>
        <v>0</v>
      </c>
      <c r="M211" s="375"/>
      <c r="N211" s="375"/>
      <c r="O211" s="431"/>
      <c r="P211" s="431"/>
      <c r="Q211" s="431">
        <f>Table148[[#This Row],[Red target]]-Table148[[#This Row],[Red target]]*0.5</f>
        <v>0</v>
      </c>
      <c r="R211" s="431"/>
      <c r="S211" s="431"/>
      <c r="T211" s="431"/>
      <c r="U211" s="431"/>
      <c r="V211" s="431"/>
      <c r="W211" s="431"/>
      <c r="X211" s="431"/>
      <c r="Y211" s="431"/>
      <c r="Z211" s="431"/>
      <c r="AA211" s="375"/>
      <c r="AB211" s="375"/>
      <c r="AC211" s="399"/>
    </row>
    <row r="212" spans="1:29" s="362" customFormat="1" hidden="1" x14ac:dyDescent="0.25">
      <c r="A212" s="389"/>
      <c r="B212" s="372"/>
      <c r="C212" s="372"/>
      <c r="D212" s="372"/>
      <c r="E212" s="379"/>
      <c r="F212" s="380"/>
      <c r="G212" s="381"/>
      <c r="H212" s="421"/>
      <c r="I212" s="375"/>
      <c r="J212" s="375"/>
      <c r="K212" s="375"/>
      <c r="L212" s="431">
        <f>Table148[[#This Row],[Ambitious target 2030]]+Table148[[#This Row],[Ambitious target 2030]]*0.5</f>
        <v>0</v>
      </c>
      <c r="M212" s="375"/>
      <c r="N212" s="375"/>
      <c r="O212" s="431"/>
      <c r="P212" s="431"/>
      <c r="Q212" s="431">
        <f>Table148[[#This Row],[Red target]]-Table148[[#This Row],[Red target]]*0.5</f>
        <v>0</v>
      </c>
      <c r="R212" s="431"/>
      <c r="S212" s="431"/>
      <c r="T212" s="431"/>
      <c r="U212" s="431"/>
      <c r="V212" s="431"/>
      <c r="W212" s="431"/>
      <c r="X212" s="431"/>
      <c r="Y212" s="431"/>
      <c r="Z212" s="431"/>
      <c r="AA212" s="375"/>
      <c r="AB212" s="375"/>
      <c r="AC212" s="399"/>
    </row>
    <row r="213" spans="1:29" s="362" customFormat="1" hidden="1" x14ac:dyDescent="0.25">
      <c r="A213" s="389"/>
      <c r="B213" s="372"/>
      <c r="C213" s="372"/>
      <c r="D213" s="372"/>
      <c r="E213" s="382"/>
      <c r="F213" s="383"/>
      <c r="G213" s="384"/>
      <c r="H213" s="421"/>
      <c r="I213" s="375"/>
      <c r="J213" s="375"/>
      <c r="K213" s="375"/>
      <c r="L213" s="375">
        <f>Table148[[#This Row],[Ambitious target 2030]]+Table148[[#This Row],[Ambitious target 2030]]*0.5</f>
        <v>0</v>
      </c>
      <c r="M213" s="375"/>
      <c r="N213" s="375"/>
      <c r="O213" s="375"/>
      <c r="P213" s="375"/>
      <c r="Q213" s="375">
        <f>Table148[[#This Row],[Red target]]-Table148[[#This Row],[Red target]]*0.5</f>
        <v>0</v>
      </c>
      <c r="R213" s="375"/>
      <c r="S213" s="375"/>
      <c r="T213" s="375"/>
      <c r="U213" s="375"/>
      <c r="V213" s="375"/>
      <c r="W213" s="375"/>
      <c r="X213" s="375"/>
      <c r="Y213" s="375"/>
      <c r="Z213" s="375"/>
      <c r="AA213" s="375"/>
      <c r="AB213" s="375"/>
      <c r="AC213" s="399"/>
    </row>
    <row r="214" spans="1:29" s="362" customFormat="1" hidden="1" x14ac:dyDescent="0.25">
      <c r="A214" s="389"/>
      <c r="B214" s="372"/>
      <c r="C214" s="372"/>
      <c r="D214" s="372"/>
      <c r="E214" s="382"/>
      <c r="F214" s="383"/>
      <c r="G214" s="384"/>
      <c r="H214" s="421"/>
      <c r="I214" s="375"/>
      <c r="J214" s="375"/>
      <c r="K214" s="375"/>
      <c r="L214" s="375">
        <f>Table148[[#This Row],[Ambitious target 2030]]+Table148[[#This Row],[Ambitious target 2030]]*0.5</f>
        <v>0</v>
      </c>
      <c r="M214" s="375"/>
      <c r="N214" s="375"/>
      <c r="O214" s="375"/>
      <c r="P214" s="375"/>
      <c r="Q214" s="375">
        <f>Table148[[#This Row],[Red target]]-Table148[[#This Row],[Red target]]*0.5</f>
        <v>0</v>
      </c>
      <c r="R214" s="375"/>
      <c r="S214" s="375"/>
      <c r="T214" s="375"/>
      <c r="U214" s="375"/>
      <c r="V214" s="375"/>
      <c r="W214" s="375"/>
      <c r="X214" s="375"/>
      <c r="Y214" s="375"/>
      <c r="Z214" s="375"/>
      <c r="AA214" s="375"/>
      <c r="AB214" s="375"/>
      <c r="AC214" s="399"/>
    </row>
    <row r="215" spans="1:29" s="362" customFormat="1" hidden="1" x14ac:dyDescent="0.25">
      <c r="A215" s="389"/>
      <c r="B215" s="372"/>
      <c r="C215" s="372"/>
      <c r="D215" s="372"/>
      <c r="E215" s="382"/>
      <c r="F215" s="383"/>
      <c r="G215" s="384"/>
      <c r="H215" s="421"/>
      <c r="I215" s="375"/>
      <c r="J215" s="375"/>
      <c r="K215" s="375"/>
      <c r="L215" s="431">
        <f>Table148[[#This Row],[Ambitious target 2030]]+Table148[[#This Row],[Ambitious target 2030]]*0.5</f>
        <v>0</v>
      </c>
      <c r="M215" s="375"/>
      <c r="N215" s="375"/>
      <c r="O215" s="431"/>
      <c r="P215" s="431"/>
      <c r="Q215" s="431">
        <f>Table148[[#This Row],[Red target]]-Table148[[#This Row],[Red target]]*0.5</f>
        <v>0</v>
      </c>
      <c r="R215" s="431"/>
      <c r="S215" s="431"/>
      <c r="T215" s="431"/>
      <c r="U215" s="431"/>
      <c r="V215" s="431"/>
      <c r="W215" s="431"/>
      <c r="X215" s="431"/>
      <c r="Y215" s="431"/>
      <c r="Z215" s="431"/>
      <c r="AA215" s="375"/>
      <c r="AB215" s="375"/>
      <c r="AC215" s="399"/>
    </row>
    <row r="216" spans="1:29" s="362" customFormat="1" hidden="1" x14ac:dyDescent="0.25">
      <c r="A216" s="389"/>
      <c r="B216" s="372"/>
      <c r="C216" s="372"/>
      <c r="D216" s="372"/>
      <c r="E216" s="382"/>
      <c r="F216" s="383"/>
      <c r="G216" s="384"/>
      <c r="H216" s="421"/>
      <c r="I216" s="375"/>
      <c r="J216" s="375"/>
      <c r="K216" s="375"/>
      <c r="L216" s="431">
        <f>Table148[[#This Row],[Ambitious target 2030]]+Table148[[#This Row],[Ambitious target 2030]]*0.5</f>
        <v>0</v>
      </c>
      <c r="M216" s="375"/>
      <c r="N216" s="375"/>
      <c r="O216" s="431"/>
      <c r="P216" s="431"/>
      <c r="Q216" s="431">
        <f>Table148[[#This Row],[Red target]]-Table148[[#This Row],[Red target]]*0.5</f>
        <v>0</v>
      </c>
      <c r="R216" s="431"/>
      <c r="S216" s="431"/>
      <c r="T216" s="431"/>
      <c r="U216" s="431"/>
      <c r="V216" s="431"/>
      <c r="W216" s="431"/>
      <c r="X216" s="431"/>
      <c r="Y216" s="431"/>
      <c r="Z216" s="431"/>
      <c r="AA216" s="375"/>
      <c r="AB216" s="375"/>
      <c r="AC216" s="399"/>
    </row>
    <row r="217" spans="1:29" s="362" customFormat="1" hidden="1" x14ac:dyDescent="0.25">
      <c r="A217" s="389"/>
      <c r="B217" s="372"/>
      <c r="C217" s="372"/>
      <c r="D217" s="372"/>
      <c r="E217" s="382"/>
      <c r="F217" s="383"/>
      <c r="G217" s="384"/>
      <c r="H217" s="421"/>
      <c r="I217" s="375"/>
      <c r="J217" s="375"/>
      <c r="K217" s="375"/>
      <c r="L217" s="431">
        <f>Table148[[#This Row],[Ambitious target 2030]]+Table148[[#This Row],[Ambitious target 2030]]*0.5</f>
        <v>0</v>
      </c>
      <c r="M217" s="375"/>
      <c r="N217" s="375"/>
      <c r="O217" s="431"/>
      <c r="P217" s="431"/>
      <c r="Q217" s="431">
        <f>Table148[[#This Row],[Red target]]-Table148[[#This Row],[Red target]]*0.5</f>
        <v>0</v>
      </c>
      <c r="R217" s="431"/>
      <c r="S217" s="431"/>
      <c r="T217" s="431"/>
      <c r="U217" s="431"/>
      <c r="V217" s="431"/>
      <c r="W217" s="431"/>
      <c r="X217" s="431"/>
      <c r="Y217" s="431"/>
      <c r="Z217" s="431"/>
      <c r="AA217" s="375"/>
      <c r="AB217" s="375"/>
      <c r="AC217" s="399"/>
    </row>
    <row r="218" spans="1:29" s="387" customFormat="1" hidden="1" x14ac:dyDescent="0.25">
      <c r="A218" s="410"/>
      <c r="B218" s="415"/>
      <c r="C218" s="415"/>
      <c r="D218" s="415"/>
      <c r="E218" s="417">
        <v>2005</v>
      </c>
      <c r="F218" s="417">
        <v>2010</v>
      </c>
      <c r="G218" s="417">
        <v>2020</v>
      </c>
      <c r="H218" s="417"/>
      <c r="I218" s="417"/>
      <c r="J218" s="417"/>
      <c r="K218" s="417"/>
      <c r="L218" s="417">
        <f>Table148[[#This Row],[Ambitious target 2030]]+Table148[[#This Row],[Ambitious target 2030]]*0.5</f>
        <v>0</v>
      </c>
      <c r="M218" s="417"/>
      <c r="N218" s="417"/>
      <c r="O218" s="417"/>
      <c r="P218" s="417"/>
      <c r="Q218" s="417">
        <f>Table148[[#This Row],[Red target]]-Table148[[#This Row],[Red target]]*0.5</f>
        <v>0</v>
      </c>
      <c r="R218" s="417"/>
      <c r="S218" s="417"/>
      <c r="T218" s="417"/>
      <c r="U218" s="417"/>
      <c r="V218" s="417"/>
      <c r="W218" s="417"/>
      <c r="X218" s="417"/>
      <c r="Y218" s="417"/>
      <c r="Z218" s="417"/>
      <c r="AA218" s="417"/>
      <c r="AB218" s="417"/>
      <c r="AC218" s="412"/>
    </row>
    <row r="219" spans="1:29" s="362" customFormat="1" x14ac:dyDescent="0.25">
      <c r="A219" s="418" t="s">
        <v>956</v>
      </c>
      <c r="B219" s="436" t="s">
        <v>24</v>
      </c>
      <c r="C219" s="437" t="s">
        <v>959</v>
      </c>
      <c r="D219" s="436" t="s">
        <v>1085</v>
      </c>
      <c r="E219" s="420">
        <v>167.2</v>
      </c>
      <c r="F219" s="420">
        <v>171.4</v>
      </c>
      <c r="G219" s="420">
        <v>195</v>
      </c>
      <c r="H219" s="421">
        <v>2020</v>
      </c>
      <c r="I219" s="421">
        <v>195</v>
      </c>
      <c r="J219" s="421">
        <v>2015</v>
      </c>
      <c r="K219" s="411">
        <v>183.40299999999999</v>
      </c>
      <c r="L219" s="411">
        <f>Table148[[#This Row],[Ambitious target 2030]]-Table148[[#This Row],[Ambitious target 2030]]*0.5</f>
        <v>68.25</v>
      </c>
      <c r="M219" s="421">
        <f>Table148[[#This Row],[Data reference value]]+Table148[[#This Row],[Data reference value]]*Table148[[#This Row],[Ambitious target improvement rate 2030]]</f>
        <v>136.5</v>
      </c>
      <c r="N219" s="421">
        <v>-0.3</v>
      </c>
      <c r="O219" s="421">
        <f>(Table148[[#This Row],[Ambitious target 2030]]-Table148[[#This Row],[Model reference value]])*0.5+Table148[[#This Row],[Model reference value]]</f>
        <v>159.95150000000001</v>
      </c>
      <c r="P219" s="421">
        <f>(Table148[[#This Row],[Ambitious target 2030]]-Table148[[#This Row],[Model reference value]])*0.25+Table148[[#This Row],[Model reference value]]</f>
        <v>171.67724999999999</v>
      </c>
      <c r="Q219" s="421">
        <f>Table148[[#This Row],[Red target]]+Table148[[#This Row],[Red target]]*0.5</f>
        <v>275.10449999999997</v>
      </c>
      <c r="R219" s="421">
        <f>Table148[[#This Row],[Data reference value]]+Table148[[#This Row],[Data reference value]]*Table148[[#This Row],[Ambitious target improvement rate 2050]]</f>
        <v>97.5</v>
      </c>
      <c r="S219" s="421">
        <v>-0.5</v>
      </c>
      <c r="T219" s="421">
        <f>(Table148[[#This Row],[Ambitious target 2050]]-Table148[[#This Row],[Model reference value]])*0.5+Table148[[#This Row],[Model reference value]]</f>
        <v>140.45150000000001</v>
      </c>
      <c r="U219" s="421">
        <f>(Table148[[#This Row],[Ambitious target 2050]]-Table148[[#This Row],[Model reference value]])*0.25+Table148[[#This Row],[Model reference value]]</f>
        <v>161.92724999999999</v>
      </c>
      <c r="V219" s="421">
        <f>Table148[[#This Row],[Data reference value]]+Table148[[#This Row],[Data reference value]]*Table148[[#This Row],[Ambitious target improvement rate 2100]]</f>
        <v>0</v>
      </c>
      <c r="W219" s="421">
        <v>-1</v>
      </c>
      <c r="X219" s="421">
        <f>(Table148[[#This Row],[Ambitious target 2100]]-Table148[[#This Row],[Model reference value]])*0.5+Table148[[#This Row],[Model reference value]]</f>
        <v>91.701499999999996</v>
      </c>
      <c r="Y219" s="421">
        <f>(Table148[[#This Row],[Ambitious target 2100]]-Table148[[#This Row],[Model reference value]])*0.25+Table148[[#This Row],[Model reference value]]</f>
        <v>137.55224999999999</v>
      </c>
      <c r="Z219" s="421">
        <f>Table148[[#This Row],[Model reference value]]</f>
        <v>183.40299999999999</v>
      </c>
      <c r="AA219" s="421" t="s">
        <v>1140</v>
      </c>
      <c r="AB219" s="421" t="s">
        <v>1189</v>
      </c>
      <c r="AC219" s="419" t="s">
        <v>979</v>
      </c>
    </row>
    <row r="220" spans="1:29" s="362" customFormat="1" hidden="1" x14ac:dyDescent="0.25">
      <c r="A220" s="389"/>
      <c r="B220" s="372"/>
      <c r="C220" s="372"/>
      <c r="D220" s="372"/>
      <c r="E220" s="379"/>
      <c r="F220" s="380"/>
      <c r="G220" s="381"/>
      <c r="H220" s="421"/>
      <c r="I220" s="375"/>
      <c r="J220" s="375"/>
      <c r="K220" s="375"/>
      <c r="L220" s="375">
        <f>Table148[[#This Row],[Ambitious target 2030]]+Table148[[#This Row],[Ambitious target 2030]]*0.5</f>
        <v>0</v>
      </c>
      <c r="M220" s="375"/>
      <c r="N220" s="375"/>
      <c r="O220" s="375"/>
      <c r="P220" s="375"/>
      <c r="Q220" s="375">
        <f>Table148[[#This Row],[Red target]]-Table148[[#This Row],[Red target]]*0.5</f>
        <v>0</v>
      </c>
      <c r="R220" s="375"/>
      <c r="S220" s="375"/>
      <c r="T220" s="375"/>
      <c r="U220" s="375"/>
      <c r="V220" s="375"/>
      <c r="W220" s="375"/>
      <c r="X220" s="375"/>
      <c r="Y220" s="375"/>
      <c r="Z220" s="375"/>
      <c r="AA220" s="375"/>
      <c r="AB220" s="375"/>
      <c r="AC220" s="399"/>
    </row>
    <row r="221" spans="1:29" s="362" customFormat="1" hidden="1" x14ac:dyDescent="0.25">
      <c r="A221" s="389"/>
      <c r="B221" s="372"/>
      <c r="C221" s="372"/>
      <c r="D221" s="372"/>
      <c r="E221" s="379"/>
      <c r="F221" s="380"/>
      <c r="G221" s="381"/>
      <c r="H221" s="421"/>
      <c r="I221" s="375"/>
      <c r="J221" s="375"/>
      <c r="K221" s="375"/>
      <c r="L221" s="375">
        <f>Table148[[#This Row],[Ambitious target 2030]]+Table148[[#This Row],[Ambitious target 2030]]*0.5</f>
        <v>0</v>
      </c>
      <c r="M221" s="375"/>
      <c r="N221" s="375"/>
      <c r="O221" s="375"/>
      <c r="P221" s="375"/>
      <c r="Q221" s="375">
        <f>Table148[[#This Row],[Red target]]-Table148[[#This Row],[Red target]]*0.5</f>
        <v>0</v>
      </c>
      <c r="R221" s="375"/>
      <c r="S221" s="375"/>
      <c r="T221" s="375"/>
      <c r="U221" s="375"/>
      <c r="V221" s="375"/>
      <c r="W221" s="375"/>
      <c r="X221" s="375"/>
      <c r="Y221" s="375"/>
      <c r="Z221" s="375"/>
      <c r="AA221" s="375"/>
      <c r="AB221" s="375"/>
      <c r="AC221" s="399"/>
    </row>
    <row r="222" spans="1:29" s="362" customFormat="1" hidden="1" x14ac:dyDescent="0.25">
      <c r="A222" s="389"/>
      <c r="B222" s="372"/>
      <c r="C222" s="372"/>
      <c r="D222" s="372"/>
      <c r="E222" s="379"/>
      <c r="F222" s="380"/>
      <c r="G222" s="381"/>
      <c r="H222" s="421"/>
      <c r="I222" s="375"/>
      <c r="J222" s="375"/>
      <c r="K222" s="375"/>
      <c r="L222" s="375">
        <f>Table148[[#This Row],[Ambitious target 2030]]+Table148[[#This Row],[Ambitious target 2030]]*0.5</f>
        <v>0</v>
      </c>
      <c r="M222" s="375"/>
      <c r="N222" s="375"/>
      <c r="O222" s="375"/>
      <c r="P222" s="375"/>
      <c r="Q222" s="375">
        <f>Table148[[#This Row],[Red target]]-Table148[[#This Row],[Red target]]*0.5</f>
        <v>0</v>
      </c>
      <c r="R222" s="375"/>
      <c r="S222" s="375"/>
      <c r="T222" s="375"/>
      <c r="U222" s="375"/>
      <c r="V222" s="375"/>
      <c r="W222" s="375"/>
      <c r="X222" s="375"/>
      <c r="Y222" s="375"/>
      <c r="Z222" s="375"/>
      <c r="AA222" s="375"/>
      <c r="AB222" s="375"/>
      <c r="AC222" s="399"/>
    </row>
    <row r="223" spans="1:29" s="362" customFormat="1" hidden="1" x14ac:dyDescent="0.25">
      <c r="A223" s="389"/>
      <c r="B223" s="372"/>
      <c r="C223" s="372"/>
      <c r="D223" s="372"/>
      <c r="E223" s="379"/>
      <c r="F223" s="380"/>
      <c r="G223" s="381"/>
      <c r="H223" s="421"/>
      <c r="I223" s="375"/>
      <c r="J223" s="375"/>
      <c r="K223" s="375"/>
      <c r="L223" s="431">
        <f>Table148[[#This Row],[Ambitious target 2030]]+Table148[[#This Row],[Ambitious target 2030]]*0.5</f>
        <v>0</v>
      </c>
      <c r="M223" s="375"/>
      <c r="N223" s="375"/>
      <c r="O223" s="431"/>
      <c r="P223" s="431"/>
      <c r="Q223" s="431">
        <f>Table148[[#This Row],[Red target]]-Table148[[#This Row],[Red target]]*0.5</f>
        <v>0</v>
      </c>
      <c r="R223" s="431"/>
      <c r="S223" s="431"/>
      <c r="T223" s="431"/>
      <c r="U223" s="431"/>
      <c r="V223" s="431"/>
      <c r="W223" s="431"/>
      <c r="X223" s="431"/>
      <c r="Y223" s="431"/>
      <c r="Z223" s="431"/>
      <c r="AA223" s="375"/>
      <c r="AB223" s="375"/>
      <c r="AC223" s="399"/>
    </row>
    <row r="224" spans="1:29" s="362" customFormat="1" hidden="1" x14ac:dyDescent="0.25">
      <c r="A224" s="389"/>
      <c r="B224" s="372"/>
      <c r="C224" s="372"/>
      <c r="D224" s="372"/>
      <c r="E224" s="379"/>
      <c r="F224" s="380"/>
      <c r="G224" s="381"/>
      <c r="H224" s="421"/>
      <c r="I224" s="375"/>
      <c r="J224" s="375"/>
      <c r="K224" s="375"/>
      <c r="L224" s="431">
        <f>Table148[[#This Row],[Ambitious target 2030]]+Table148[[#This Row],[Ambitious target 2030]]*0.5</f>
        <v>0</v>
      </c>
      <c r="M224" s="375"/>
      <c r="N224" s="375"/>
      <c r="O224" s="431"/>
      <c r="P224" s="431"/>
      <c r="Q224" s="431">
        <f>Table148[[#This Row],[Red target]]-Table148[[#This Row],[Red target]]*0.5</f>
        <v>0</v>
      </c>
      <c r="R224" s="431"/>
      <c r="S224" s="431"/>
      <c r="T224" s="431"/>
      <c r="U224" s="431"/>
      <c r="V224" s="431"/>
      <c r="W224" s="431"/>
      <c r="X224" s="431"/>
      <c r="Y224" s="431"/>
      <c r="Z224" s="431"/>
      <c r="AA224" s="375"/>
      <c r="AB224" s="375"/>
      <c r="AC224" s="399"/>
    </row>
    <row r="225" spans="1:29" s="362" customFormat="1" hidden="1" x14ac:dyDescent="0.25">
      <c r="A225" s="389"/>
      <c r="B225" s="372"/>
      <c r="C225" s="372"/>
      <c r="D225" s="372"/>
      <c r="E225" s="382"/>
      <c r="F225" s="383"/>
      <c r="G225" s="384"/>
      <c r="H225" s="421"/>
      <c r="I225" s="375"/>
      <c r="J225" s="375"/>
      <c r="K225" s="375"/>
      <c r="L225" s="375">
        <f>Table148[[#This Row],[Ambitious target 2030]]+Table148[[#This Row],[Ambitious target 2030]]*0.5</f>
        <v>0</v>
      </c>
      <c r="M225" s="375"/>
      <c r="N225" s="375"/>
      <c r="O225" s="375"/>
      <c r="P225" s="375"/>
      <c r="Q225" s="375">
        <f>Table148[[#This Row],[Red target]]-Table148[[#This Row],[Red target]]*0.5</f>
        <v>0</v>
      </c>
      <c r="R225" s="375"/>
      <c r="S225" s="375"/>
      <c r="T225" s="375"/>
      <c r="U225" s="375"/>
      <c r="V225" s="375"/>
      <c r="W225" s="375"/>
      <c r="X225" s="375"/>
      <c r="Y225" s="375"/>
      <c r="Z225" s="375"/>
      <c r="AA225" s="375"/>
      <c r="AB225" s="375"/>
      <c r="AC225" s="399"/>
    </row>
    <row r="226" spans="1:29" s="362" customFormat="1" hidden="1" x14ac:dyDescent="0.25">
      <c r="A226" s="389"/>
      <c r="B226" s="372"/>
      <c r="C226" s="372"/>
      <c r="D226" s="372"/>
      <c r="E226" s="382"/>
      <c r="F226" s="383"/>
      <c r="G226" s="384"/>
      <c r="H226" s="421"/>
      <c r="I226" s="375"/>
      <c r="J226" s="375"/>
      <c r="K226" s="375"/>
      <c r="L226" s="375">
        <f>Table148[[#This Row],[Ambitious target 2030]]+Table148[[#This Row],[Ambitious target 2030]]*0.5</f>
        <v>0</v>
      </c>
      <c r="M226" s="375"/>
      <c r="N226" s="375"/>
      <c r="O226" s="375"/>
      <c r="P226" s="375"/>
      <c r="Q226" s="375">
        <f>Table148[[#This Row],[Red target]]-Table148[[#This Row],[Red target]]*0.5</f>
        <v>0</v>
      </c>
      <c r="R226" s="375"/>
      <c r="S226" s="375"/>
      <c r="T226" s="375"/>
      <c r="U226" s="375"/>
      <c r="V226" s="375"/>
      <c r="W226" s="375"/>
      <c r="X226" s="375"/>
      <c r="Y226" s="375"/>
      <c r="Z226" s="375"/>
      <c r="AA226" s="375"/>
      <c r="AB226" s="375"/>
      <c r="AC226" s="399"/>
    </row>
    <row r="227" spans="1:29" s="362" customFormat="1" hidden="1" x14ac:dyDescent="0.25">
      <c r="A227" s="389"/>
      <c r="B227" s="372"/>
      <c r="C227" s="372"/>
      <c r="D227" s="372"/>
      <c r="E227" s="382"/>
      <c r="F227" s="383"/>
      <c r="G227" s="384"/>
      <c r="H227" s="421"/>
      <c r="I227" s="375"/>
      <c r="J227" s="375"/>
      <c r="K227" s="375"/>
      <c r="L227" s="431">
        <f>Table148[[#This Row],[Ambitious target 2030]]+Table148[[#This Row],[Ambitious target 2030]]*0.5</f>
        <v>0</v>
      </c>
      <c r="M227" s="375"/>
      <c r="N227" s="375"/>
      <c r="O227" s="431"/>
      <c r="P227" s="431"/>
      <c r="Q227" s="431">
        <f>Table148[[#This Row],[Red target]]-Table148[[#This Row],[Red target]]*0.5</f>
        <v>0</v>
      </c>
      <c r="R227" s="431"/>
      <c r="S227" s="431"/>
      <c r="T227" s="431"/>
      <c r="U227" s="431"/>
      <c r="V227" s="431"/>
      <c r="W227" s="431"/>
      <c r="X227" s="431"/>
      <c r="Y227" s="431"/>
      <c r="Z227" s="431"/>
      <c r="AA227" s="375"/>
      <c r="AB227" s="375"/>
      <c r="AC227" s="399"/>
    </row>
    <row r="228" spans="1:29" s="362" customFormat="1" hidden="1" x14ac:dyDescent="0.25">
      <c r="A228" s="389"/>
      <c r="B228" s="372"/>
      <c r="C228" s="372"/>
      <c r="D228" s="372"/>
      <c r="E228" s="382"/>
      <c r="F228" s="383"/>
      <c r="G228" s="384"/>
      <c r="H228" s="421"/>
      <c r="I228" s="375"/>
      <c r="J228" s="375"/>
      <c r="K228" s="375"/>
      <c r="L228" s="431">
        <f>Table148[[#This Row],[Ambitious target 2030]]+Table148[[#This Row],[Ambitious target 2030]]*0.5</f>
        <v>0</v>
      </c>
      <c r="M228" s="375"/>
      <c r="N228" s="375"/>
      <c r="O228" s="431"/>
      <c r="P228" s="431"/>
      <c r="Q228" s="431">
        <f>Table148[[#This Row],[Red target]]-Table148[[#This Row],[Red target]]*0.5</f>
        <v>0</v>
      </c>
      <c r="R228" s="431"/>
      <c r="S228" s="431"/>
      <c r="T228" s="431"/>
      <c r="U228" s="431"/>
      <c r="V228" s="431"/>
      <c r="W228" s="431"/>
      <c r="X228" s="431"/>
      <c r="Y228" s="431"/>
      <c r="Z228" s="431"/>
      <c r="AA228" s="375"/>
      <c r="AB228" s="375"/>
      <c r="AC228" s="399"/>
    </row>
    <row r="229" spans="1:29" s="362" customFormat="1" hidden="1" x14ac:dyDescent="0.25">
      <c r="A229" s="389"/>
      <c r="B229" s="372"/>
      <c r="C229" s="372"/>
      <c r="D229" s="372"/>
      <c r="E229" s="382"/>
      <c r="F229" s="383"/>
      <c r="G229" s="384"/>
      <c r="H229" s="421"/>
      <c r="I229" s="375"/>
      <c r="J229" s="375"/>
      <c r="K229" s="375"/>
      <c r="L229" s="431">
        <f>Table148[[#This Row],[Ambitious target 2030]]+Table148[[#This Row],[Ambitious target 2030]]*0.5</f>
        <v>0</v>
      </c>
      <c r="M229" s="375"/>
      <c r="N229" s="375"/>
      <c r="O229" s="431"/>
      <c r="P229" s="431"/>
      <c r="Q229" s="431">
        <f>Table148[[#This Row],[Red target]]-Table148[[#This Row],[Red target]]*0.5</f>
        <v>0</v>
      </c>
      <c r="R229" s="431"/>
      <c r="S229" s="431"/>
      <c r="T229" s="431"/>
      <c r="U229" s="431"/>
      <c r="V229" s="431"/>
      <c r="W229" s="431"/>
      <c r="X229" s="431"/>
      <c r="Y229" s="431"/>
      <c r="Z229" s="431"/>
      <c r="AA229" s="375"/>
      <c r="AB229" s="375"/>
      <c r="AC229" s="399"/>
    </row>
    <row r="230" spans="1:29" s="387" customFormat="1" hidden="1" x14ac:dyDescent="0.25">
      <c r="A230" s="410"/>
      <c r="B230" s="415"/>
      <c r="C230" s="415"/>
      <c r="D230" s="415"/>
      <c r="E230" s="417">
        <v>2005</v>
      </c>
      <c r="F230" s="417">
        <v>2010</v>
      </c>
      <c r="G230" s="417">
        <v>2020</v>
      </c>
      <c r="H230" s="417"/>
      <c r="I230" s="417"/>
      <c r="J230" s="417"/>
      <c r="K230" s="417"/>
      <c r="L230" s="417">
        <f>Table148[[#This Row],[Ambitious target 2030]]+Table148[[#This Row],[Ambitious target 2030]]*0.5</f>
        <v>0</v>
      </c>
      <c r="M230" s="417"/>
      <c r="N230" s="417"/>
      <c r="O230" s="417"/>
      <c r="P230" s="417"/>
      <c r="Q230" s="417">
        <f>Table148[[#This Row],[Red target]]-Table148[[#This Row],[Red target]]*0.5</f>
        <v>0</v>
      </c>
      <c r="R230" s="417"/>
      <c r="S230" s="417"/>
      <c r="T230" s="417"/>
      <c r="U230" s="417"/>
      <c r="V230" s="417"/>
      <c r="W230" s="417"/>
      <c r="X230" s="417"/>
      <c r="Y230" s="417"/>
      <c r="Z230" s="417"/>
      <c r="AA230" s="417"/>
      <c r="AB230" s="417"/>
      <c r="AC230" s="412"/>
    </row>
    <row r="231" spans="1:29" s="362" customFormat="1" x14ac:dyDescent="0.25">
      <c r="A231" s="418" t="s">
        <v>957</v>
      </c>
      <c r="B231" s="436" t="s">
        <v>25</v>
      </c>
      <c r="C231" s="437" t="s">
        <v>959</v>
      </c>
      <c r="D231" s="436" t="s">
        <v>1086</v>
      </c>
      <c r="E231" s="420">
        <v>101.93460156250001</v>
      </c>
      <c r="F231" s="420">
        <v>112.74639843750001</v>
      </c>
      <c r="G231" s="420">
        <v>152.18899999999999</v>
      </c>
      <c r="H231" s="421">
        <v>2020</v>
      </c>
      <c r="I231" s="421">
        <v>152.18899999999999</v>
      </c>
      <c r="J231" s="421">
        <v>2015</v>
      </c>
      <c r="K231" s="411">
        <v>130.12200000000001</v>
      </c>
      <c r="L231" s="411">
        <f>Table148[[#This Row],[Ambitious target 2030]]-Table148[[#This Row],[Ambitious target 2030]]*0.5</f>
        <v>53.266149999999996</v>
      </c>
      <c r="M231" s="421">
        <f>Table148[[#This Row],[Data reference value]]+Table148[[#This Row],[Data reference value]]*Table148[[#This Row],[Ambitious target improvement rate 2030]]</f>
        <v>106.53229999999999</v>
      </c>
      <c r="N231" s="421">
        <v>-0.3</v>
      </c>
      <c r="O231" s="421">
        <f>(Table148[[#This Row],[Ambitious target 2030]]-Table148[[#This Row],[Model reference value]])*0.5+Table148[[#This Row],[Model reference value]]</f>
        <v>118.32715</v>
      </c>
      <c r="P231" s="421">
        <f>(Table148[[#This Row],[Ambitious target 2030]]-Table148[[#This Row],[Model reference value]])*0.25+Table148[[#This Row],[Model reference value]]</f>
        <v>124.22457500000002</v>
      </c>
      <c r="Q231" s="421">
        <f>Table148[[#This Row],[Red target]]+Table148[[#This Row],[Red target]]*0.5</f>
        <v>195.18300000000002</v>
      </c>
      <c r="R231" s="421">
        <f>Table148[[#This Row],[Data reference value]]+Table148[[#This Row],[Data reference value]]*Table148[[#This Row],[Ambitious target improvement rate 2050]]</f>
        <v>76.094499999999996</v>
      </c>
      <c r="S231" s="421">
        <v>-0.5</v>
      </c>
      <c r="T231" s="421">
        <f>(Table148[[#This Row],[Ambitious target 2050]]-Table148[[#This Row],[Model reference value]])*0.5+Table148[[#This Row],[Model reference value]]</f>
        <v>103.10825</v>
      </c>
      <c r="U231" s="421">
        <f>(Table148[[#This Row],[Ambitious target 2050]]-Table148[[#This Row],[Model reference value]])*0.25+Table148[[#This Row],[Model reference value]]</f>
        <v>116.61512500000001</v>
      </c>
      <c r="V231" s="421">
        <f>Table148[[#This Row],[Data reference value]]+Table148[[#This Row],[Data reference value]]*Table148[[#This Row],[Ambitious target improvement rate 2100]]</f>
        <v>0</v>
      </c>
      <c r="W231" s="421">
        <v>-1</v>
      </c>
      <c r="X231" s="421">
        <f>(Table148[[#This Row],[Ambitious target 2100]]-Table148[[#This Row],[Model reference value]])*0.5+Table148[[#This Row],[Model reference value]]</f>
        <v>65.061000000000007</v>
      </c>
      <c r="Y231" s="421">
        <f>(Table148[[#This Row],[Ambitious target 2100]]-Table148[[#This Row],[Model reference value]])*0.25+Table148[[#This Row],[Model reference value]]</f>
        <v>97.591500000000011</v>
      </c>
      <c r="Z231" s="421">
        <f>Table148[[#This Row],[Model reference value]]</f>
        <v>130.12200000000001</v>
      </c>
      <c r="AA231" s="421" t="s">
        <v>1140</v>
      </c>
      <c r="AB231" s="421" t="s">
        <v>1089</v>
      </c>
      <c r="AC231" s="419" t="s">
        <v>979</v>
      </c>
    </row>
    <row r="232" spans="1:29" s="362" customFormat="1" hidden="1" x14ac:dyDescent="0.25">
      <c r="A232" s="389"/>
      <c r="B232" s="372"/>
      <c r="C232" s="372"/>
      <c r="D232" s="372"/>
      <c r="E232" s="379"/>
      <c r="F232" s="380"/>
      <c r="G232" s="381"/>
      <c r="H232" s="421"/>
      <c r="I232" s="375"/>
      <c r="J232" s="375"/>
      <c r="K232" s="375"/>
      <c r="L232" s="375">
        <f>Table148[[#This Row],[Ambitious target 2030]]+Table148[[#This Row],[Ambitious target 2030]]*0.5</f>
        <v>0</v>
      </c>
      <c r="M232" s="375"/>
      <c r="N232" s="375"/>
      <c r="O232" s="375"/>
      <c r="P232" s="375"/>
      <c r="Q232" s="375">
        <f>Table148[[#This Row],[Red target]]-Table148[[#This Row],[Red target]]*0.5</f>
        <v>0</v>
      </c>
      <c r="R232" s="375"/>
      <c r="S232" s="375"/>
      <c r="T232" s="375"/>
      <c r="U232" s="375"/>
      <c r="V232" s="375"/>
      <c r="W232" s="375"/>
      <c r="X232" s="375"/>
      <c r="Y232" s="375"/>
      <c r="Z232" s="375"/>
      <c r="AA232" s="375"/>
      <c r="AB232" s="375"/>
      <c r="AC232" s="399"/>
    </row>
    <row r="233" spans="1:29" s="362" customFormat="1" hidden="1" x14ac:dyDescent="0.25">
      <c r="A233" s="389"/>
      <c r="B233" s="372"/>
      <c r="C233" s="372"/>
      <c r="D233" s="372"/>
      <c r="E233" s="379"/>
      <c r="F233" s="380"/>
      <c r="G233" s="381"/>
      <c r="H233" s="421"/>
      <c r="I233" s="375"/>
      <c r="J233" s="375"/>
      <c r="K233" s="375"/>
      <c r="L233" s="375">
        <f>Table148[[#This Row],[Ambitious target 2030]]+Table148[[#This Row],[Ambitious target 2030]]*0.5</f>
        <v>0</v>
      </c>
      <c r="M233" s="375"/>
      <c r="N233" s="375"/>
      <c r="O233" s="375"/>
      <c r="P233" s="375"/>
      <c r="Q233" s="375">
        <f>Table148[[#This Row],[Red target]]-Table148[[#This Row],[Red target]]*0.5</f>
        <v>0</v>
      </c>
      <c r="R233" s="375"/>
      <c r="S233" s="375"/>
      <c r="T233" s="375"/>
      <c r="U233" s="375"/>
      <c r="V233" s="375"/>
      <c r="W233" s="375"/>
      <c r="X233" s="375"/>
      <c r="Y233" s="375"/>
      <c r="Z233" s="375"/>
      <c r="AA233" s="375"/>
      <c r="AB233" s="375"/>
      <c r="AC233" s="399"/>
    </row>
    <row r="234" spans="1:29" s="362" customFormat="1" hidden="1" x14ac:dyDescent="0.25">
      <c r="A234" s="389"/>
      <c r="B234" s="372"/>
      <c r="C234" s="372"/>
      <c r="D234" s="372"/>
      <c r="E234" s="379"/>
      <c r="F234" s="380"/>
      <c r="G234" s="381"/>
      <c r="H234" s="421"/>
      <c r="I234" s="375"/>
      <c r="J234" s="375"/>
      <c r="K234" s="375"/>
      <c r="L234" s="375">
        <f>Table148[[#This Row],[Ambitious target 2030]]+Table148[[#This Row],[Ambitious target 2030]]*0.5</f>
        <v>0</v>
      </c>
      <c r="M234" s="375"/>
      <c r="N234" s="375"/>
      <c r="O234" s="375"/>
      <c r="P234" s="375"/>
      <c r="Q234" s="375">
        <f>Table148[[#This Row],[Red target]]-Table148[[#This Row],[Red target]]*0.5</f>
        <v>0</v>
      </c>
      <c r="R234" s="375"/>
      <c r="S234" s="375"/>
      <c r="T234" s="375"/>
      <c r="U234" s="375"/>
      <c r="V234" s="375"/>
      <c r="W234" s="375"/>
      <c r="X234" s="375"/>
      <c r="Y234" s="375"/>
      <c r="Z234" s="375"/>
      <c r="AA234" s="375"/>
      <c r="AB234" s="375"/>
      <c r="AC234" s="399"/>
    </row>
    <row r="235" spans="1:29" s="362" customFormat="1" hidden="1" x14ac:dyDescent="0.25">
      <c r="A235" s="389"/>
      <c r="B235" s="372"/>
      <c r="C235" s="372"/>
      <c r="D235" s="372"/>
      <c r="E235" s="379"/>
      <c r="F235" s="380"/>
      <c r="G235" s="381"/>
      <c r="H235" s="421"/>
      <c r="I235" s="375"/>
      <c r="J235" s="375"/>
      <c r="K235" s="375"/>
      <c r="L235" s="431">
        <f>Table148[[#This Row],[Ambitious target 2030]]+Table148[[#This Row],[Ambitious target 2030]]*0.5</f>
        <v>0</v>
      </c>
      <c r="M235" s="375"/>
      <c r="N235" s="375"/>
      <c r="O235" s="431"/>
      <c r="P235" s="431"/>
      <c r="Q235" s="431">
        <f>Table148[[#This Row],[Red target]]-Table148[[#This Row],[Red target]]*0.5</f>
        <v>0</v>
      </c>
      <c r="R235" s="431"/>
      <c r="S235" s="431"/>
      <c r="T235" s="431"/>
      <c r="U235" s="431"/>
      <c r="V235" s="431"/>
      <c r="W235" s="431"/>
      <c r="X235" s="431"/>
      <c r="Y235" s="431"/>
      <c r="Z235" s="431"/>
      <c r="AA235" s="375"/>
      <c r="AB235" s="375"/>
      <c r="AC235" s="399"/>
    </row>
    <row r="236" spans="1:29" s="362" customFormat="1" hidden="1" x14ac:dyDescent="0.25">
      <c r="A236" s="389"/>
      <c r="B236" s="372"/>
      <c r="C236" s="372"/>
      <c r="D236" s="372"/>
      <c r="E236" s="379"/>
      <c r="F236" s="380"/>
      <c r="G236" s="381"/>
      <c r="H236" s="421"/>
      <c r="I236" s="375"/>
      <c r="J236" s="375"/>
      <c r="K236" s="375"/>
      <c r="L236" s="431">
        <f>Table148[[#This Row],[Ambitious target 2030]]+Table148[[#This Row],[Ambitious target 2030]]*0.5</f>
        <v>0</v>
      </c>
      <c r="M236" s="375"/>
      <c r="N236" s="375"/>
      <c r="O236" s="431"/>
      <c r="P236" s="431"/>
      <c r="Q236" s="431">
        <f>Table148[[#This Row],[Red target]]-Table148[[#This Row],[Red target]]*0.5</f>
        <v>0</v>
      </c>
      <c r="R236" s="431"/>
      <c r="S236" s="431"/>
      <c r="T236" s="431"/>
      <c r="U236" s="431"/>
      <c r="V236" s="431"/>
      <c r="W236" s="431"/>
      <c r="X236" s="431"/>
      <c r="Y236" s="431"/>
      <c r="Z236" s="431"/>
      <c r="AA236" s="375"/>
      <c r="AB236" s="375"/>
      <c r="AC236" s="399"/>
    </row>
    <row r="237" spans="1:29" s="362" customFormat="1" hidden="1" x14ac:dyDescent="0.25">
      <c r="A237" s="389"/>
      <c r="B237" s="372"/>
      <c r="C237" s="372"/>
      <c r="D237" s="372"/>
      <c r="E237" s="382"/>
      <c r="F237" s="383"/>
      <c r="G237" s="384"/>
      <c r="H237" s="421"/>
      <c r="I237" s="375"/>
      <c r="J237" s="375"/>
      <c r="K237" s="375"/>
      <c r="L237" s="375">
        <f>Table148[[#This Row],[Ambitious target 2030]]+Table148[[#This Row],[Ambitious target 2030]]*0.5</f>
        <v>0</v>
      </c>
      <c r="M237" s="375"/>
      <c r="N237" s="375"/>
      <c r="O237" s="375"/>
      <c r="P237" s="375"/>
      <c r="Q237" s="375">
        <f>Table148[[#This Row],[Red target]]-Table148[[#This Row],[Red target]]*0.5</f>
        <v>0</v>
      </c>
      <c r="R237" s="375"/>
      <c r="S237" s="375"/>
      <c r="T237" s="375"/>
      <c r="U237" s="375"/>
      <c r="V237" s="375"/>
      <c r="W237" s="375"/>
      <c r="X237" s="375"/>
      <c r="Y237" s="375"/>
      <c r="Z237" s="375"/>
      <c r="AA237" s="375"/>
      <c r="AB237" s="375"/>
      <c r="AC237" s="399"/>
    </row>
    <row r="238" spans="1:29" s="362" customFormat="1" hidden="1" x14ac:dyDescent="0.25">
      <c r="A238" s="389"/>
      <c r="B238" s="372"/>
      <c r="C238" s="372"/>
      <c r="D238" s="372"/>
      <c r="E238" s="382"/>
      <c r="F238" s="383"/>
      <c r="G238" s="384"/>
      <c r="H238" s="421"/>
      <c r="I238" s="375"/>
      <c r="J238" s="375"/>
      <c r="K238" s="375"/>
      <c r="L238" s="375">
        <f>Table148[[#This Row],[Ambitious target 2030]]+Table148[[#This Row],[Ambitious target 2030]]*0.5</f>
        <v>0</v>
      </c>
      <c r="M238" s="375"/>
      <c r="N238" s="375"/>
      <c r="O238" s="375"/>
      <c r="P238" s="375"/>
      <c r="Q238" s="375">
        <f>Table148[[#This Row],[Red target]]-Table148[[#This Row],[Red target]]*0.5</f>
        <v>0</v>
      </c>
      <c r="R238" s="375"/>
      <c r="S238" s="375"/>
      <c r="T238" s="375"/>
      <c r="U238" s="375"/>
      <c r="V238" s="375"/>
      <c r="W238" s="375"/>
      <c r="X238" s="375"/>
      <c r="Y238" s="375"/>
      <c r="Z238" s="375"/>
      <c r="AA238" s="375"/>
      <c r="AB238" s="375"/>
      <c r="AC238" s="399"/>
    </row>
    <row r="239" spans="1:29" s="362" customFormat="1" hidden="1" x14ac:dyDescent="0.25">
      <c r="A239" s="389"/>
      <c r="B239" s="372"/>
      <c r="C239" s="372"/>
      <c r="D239" s="372"/>
      <c r="E239" s="382"/>
      <c r="F239" s="383"/>
      <c r="G239" s="384"/>
      <c r="H239" s="421"/>
      <c r="I239" s="375"/>
      <c r="J239" s="375"/>
      <c r="K239" s="375"/>
      <c r="L239" s="431">
        <f>Table148[[#This Row],[Ambitious target 2030]]+Table148[[#This Row],[Ambitious target 2030]]*0.5</f>
        <v>0</v>
      </c>
      <c r="M239" s="375"/>
      <c r="N239" s="375"/>
      <c r="O239" s="431"/>
      <c r="P239" s="431"/>
      <c r="Q239" s="431">
        <f>Table148[[#This Row],[Red target]]-Table148[[#This Row],[Red target]]*0.5</f>
        <v>0</v>
      </c>
      <c r="R239" s="431"/>
      <c r="S239" s="431"/>
      <c r="T239" s="431"/>
      <c r="U239" s="431"/>
      <c r="V239" s="431"/>
      <c r="W239" s="431"/>
      <c r="X239" s="431"/>
      <c r="Y239" s="431"/>
      <c r="Z239" s="431"/>
      <c r="AA239" s="375"/>
      <c r="AB239" s="375"/>
      <c r="AC239" s="399"/>
    </row>
    <row r="240" spans="1:29" s="362" customFormat="1" hidden="1" x14ac:dyDescent="0.25">
      <c r="A240" s="389"/>
      <c r="B240" s="372"/>
      <c r="C240" s="372"/>
      <c r="D240" s="372"/>
      <c r="E240" s="382"/>
      <c r="F240" s="383"/>
      <c r="G240" s="384"/>
      <c r="H240" s="421"/>
      <c r="I240" s="375"/>
      <c r="J240" s="375"/>
      <c r="K240" s="375"/>
      <c r="L240" s="431">
        <f>Table148[[#This Row],[Ambitious target 2030]]+Table148[[#This Row],[Ambitious target 2030]]*0.5</f>
        <v>0</v>
      </c>
      <c r="M240" s="375"/>
      <c r="N240" s="375"/>
      <c r="O240" s="431"/>
      <c r="P240" s="431"/>
      <c r="Q240" s="431">
        <f>Table148[[#This Row],[Red target]]-Table148[[#This Row],[Red target]]*0.5</f>
        <v>0</v>
      </c>
      <c r="R240" s="431"/>
      <c r="S240" s="431"/>
      <c r="T240" s="431"/>
      <c r="U240" s="431"/>
      <c r="V240" s="431"/>
      <c r="W240" s="431"/>
      <c r="X240" s="431"/>
      <c r="Y240" s="431"/>
      <c r="Z240" s="431"/>
      <c r="AA240" s="375"/>
      <c r="AB240" s="375"/>
      <c r="AC240" s="399"/>
    </row>
    <row r="241" spans="1:35" s="362" customFormat="1" hidden="1" x14ac:dyDescent="0.25">
      <c r="A241" s="389"/>
      <c r="B241" s="372"/>
      <c r="C241" s="372"/>
      <c r="D241" s="372"/>
      <c r="E241" s="382"/>
      <c r="F241" s="383"/>
      <c r="G241" s="384"/>
      <c r="H241" s="421"/>
      <c r="I241" s="375"/>
      <c r="J241" s="375"/>
      <c r="K241" s="375"/>
      <c r="L241" s="431">
        <f>Table148[[#This Row],[Ambitious target 2030]]+Table148[[#This Row],[Ambitious target 2030]]*0.5</f>
        <v>0</v>
      </c>
      <c r="M241" s="375"/>
      <c r="N241" s="375"/>
      <c r="O241" s="431"/>
      <c r="P241" s="431"/>
      <c r="Q241" s="431">
        <f>Table148[[#This Row],[Red target]]-Table148[[#This Row],[Red target]]*0.5</f>
        <v>0</v>
      </c>
      <c r="R241" s="431"/>
      <c r="S241" s="431"/>
      <c r="T241" s="431"/>
      <c r="U241" s="431"/>
      <c r="V241" s="431"/>
      <c r="W241" s="431"/>
      <c r="X241" s="431"/>
      <c r="Y241" s="431"/>
      <c r="Z241" s="431"/>
      <c r="AA241" s="375"/>
      <c r="AB241" s="375"/>
      <c r="AC241" s="399"/>
    </row>
    <row r="242" spans="1:35" s="387" customFormat="1" hidden="1" x14ac:dyDescent="0.25">
      <c r="A242" s="410"/>
      <c r="B242" s="415"/>
      <c r="C242" s="415"/>
      <c r="D242" s="415"/>
      <c r="E242" s="417">
        <v>2005</v>
      </c>
      <c r="F242" s="417">
        <v>2010</v>
      </c>
      <c r="G242" s="417">
        <v>2020</v>
      </c>
      <c r="H242" s="417"/>
      <c r="I242" s="417"/>
      <c r="J242" s="417"/>
      <c r="K242" s="417"/>
      <c r="L242" s="417">
        <f>Table148[[#This Row],[Ambitious target 2030]]+Table148[[#This Row],[Ambitious target 2030]]*0.5</f>
        <v>0</v>
      </c>
      <c r="M242" s="417"/>
      <c r="N242" s="417"/>
      <c r="O242" s="417"/>
      <c r="P242" s="417"/>
      <c r="Q242" s="417">
        <f>Table148[[#This Row],[Red target]]-Table148[[#This Row],[Red target]]*0.5</f>
        <v>0</v>
      </c>
      <c r="R242" s="417"/>
      <c r="S242" s="417"/>
      <c r="T242" s="417"/>
      <c r="U242" s="417"/>
      <c r="V242" s="417"/>
      <c r="W242" s="417"/>
      <c r="X242" s="417"/>
      <c r="Y242" s="417"/>
      <c r="Z242" s="417"/>
      <c r="AA242" s="417"/>
      <c r="AB242" s="417"/>
      <c r="AC242" s="412"/>
    </row>
    <row r="243" spans="1:35" s="362" customFormat="1" x14ac:dyDescent="0.25">
      <c r="A243" s="418" t="s">
        <v>958</v>
      </c>
      <c r="B243" s="436" t="s">
        <v>26</v>
      </c>
      <c r="C243" s="437" t="s">
        <v>959</v>
      </c>
      <c r="D243" s="436" t="s">
        <v>1083</v>
      </c>
      <c r="E243" s="420">
        <v>121.29900000000001</v>
      </c>
      <c r="F243" s="420">
        <v>139.73400000000001</v>
      </c>
      <c r="G243" s="420">
        <v>143.77099999999999</v>
      </c>
      <c r="H243" s="421">
        <v>2020</v>
      </c>
      <c r="I243" s="421">
        <v>143.77099999999999</v>
      </c>
      <c r="J243" s="421">
        <v>2015</v>
      </c>
      <c r="K243" s="411">
        <v>105.98</v>
      </c>
      <c r="L243" s="411">
        <f>Table148[[#This Row],[Ambitious target 2030]]-Table148[[#This Row],[Ambitious target 2030]]*0.5</f>
        <v>35.942749999999997</v>
      </c>
      <c r="M243" s="421">
        <f>Table148[[#This Row],[Data reference value]]+Table148[[#This Row],[Data reference value]]*Table148[[#This Row],[Ambitious target improvement rate 2030]]</f>
        <v>71.885499999999993</v>
      </c>
      <c r="N243" s="421">
        <v>-0.5</v>
      </c>
      <c r="O243" s="421">
        <f>(Table148[[#This Row],[Ambitious target 2030]]-Table148[[#This Row],[Model reference value]])*0.5+Table148[[#This Row],[Model reference value]]</f>
        <v>88.932749999999999</v>
      </c>
      <c r="P243" s="421">
        <f>(Table148[[#This Row],[Ambitious target 2030]]-Table148[[#This Row],[Model reference value]])*0.25+Table148[[#This Row],[Model reference value]]</f>
        <v>97.456375000000008</v>
      </c>
      <c r="Q243" s="421">
        <f>Table148[[#This Row],[Red target]]+Table148[[#This Row],[Red target]]*0.5</f>
        <v>158.97</v>
      </c>
      <c r="R243" s="421">
        <f>Table148[[#This Row],[Data reference value]]+Table148[[#This Row],[Data reference value]]*Table148[[#This Row],[Ambitious target improvement rate 2050]]</f>
        <v>43.131299999999996</v>
      </c>
      <c r="S243" s="421">
        <v>-0.7</v>
      </c>
      <c r="T243" s="421">
        <f>(Table148[[#This Row],[Ambitious target 2050]]-Table148[[#This Row],[Model reference value]])*0.5+Table148[[#This Row],[Model reference value]]</f>
        <v>74.55565</v>
      </c>
      <c r="U243" s="421">
        <f>(Table148[[#This Row],[Ambitious target 2050]]-Table148[[#This Row],[Model reference value]])*0.25+Table148[[#This Row],[Model reference value]]</f>
        <v>90.267825000000002</v>
      </c>
      <c r="V243" s="421">
        <f>Table148[[#This Row],[Data reference value]]+Table148[[#This Row],[Data reference value]]*Table148[[#This Row],[Ambitious target improvement rate 2100]]</f>
        <v>0</v>
      </c>
      <c r="W243" s="421">
        <v>-1</v>
      </c>
      <c r="X243" s="421">
        <f>(Table148[[#This Row],[Ambitious target 2100]]-Table148[[#This Row],[Model reference value]])*0.5+Table148[[#This Row],[Model reference value]]</f>
        <v>52.99</v>
      </c>
      <c r="Y243" s="421">
        <f>(Table148[[#This Row],[Ambitious target 2100]]-Table148[[#This Row],[Model reference value]])*0.25+Table148[[#This Row],[Model reference value]]</f>
        <v>79.484999999999999</v>
      </c>
      <c r="Z243" s="421">
        <f>Table148[[#This Row],[Model reference value]]</f>
        <v>105.98</v>
      </c>
      <c r="AA243" s="421" t="s">
        <v>1140</v>
      </c>
      <c r="AB243" s="421" t="s">
        <v>1087</v>
      </c>
      <c r="AC243" s="419" t="s">
        <v>979</v>
      </c>
    </row>
    <row r="244" spans="1:35" s="362" customFormat="1" hidden="1" x14ac:dyDescent="0.25">
      <c r="A244" s="389"/>
      <c r="B244" s="372"/>
      <c r="C244" s="372"/>
      <c r="D244" s="372"/>
      <c r="E244" s="379"/>
      <c r="F244" s="380"/>
      <c r="G244" s="381"/>
      <c r="H244" s="421"/>
      <c r="I244" s="375"/>
      <c r="J244" s="375"/>
      <c r="K244" s="375"/>
      <c r="L244" s="375">
        <f>Table148[[#This Row],[Ambitious target 2030]]+Table148[[#This Row],[Ambitious target 2030]]*0.5</f>
        <v>0</v>
      </c>
      <c r="M244" s="375"/>
      <c r="N244" s="375"/>
      <c r="O244" s="375"/>
      <c r="P244" s="375"/>
      <c r="Q244" s="375">
        <f>Table148[[#This Row],[Red target]]-Table148[[#This Row],[Red target]]*0.5</f>
        <v>0</v>
      </c>
      <c r="R244" s="375"/>
      <c r="S244" s="375"/>
      <c r="T244" s="375"/>
      <c r="U244" s="375"/>
      <c r="V244" s="375"/>
      <c r="W244" s="375"/>
      <c r="X244" s="375"/>
      <c r="Y244" s="375"/>
      <c r="Z244" s="375"/>
      <c r="AA244" s="375"/>
      <c r="AB244" s="375"/>
      <c r="AC244" s="399"/>
    </row>
    <row r="245" spans="1:35" s="362" customFormat="1" hidden="1" x14ac:dyDescent="0.25">
      <c r="A245" s="389"/>
      <c r="B245" s="372"/>
      <c r="C245" s="372"/>
      <c r="D245" s="372"/>
      <c r="E245" s="379"/>
      <c r="F245" s="380"/>
      <c r="G245" s="381"/>
      <c r="H245" s="421"/>
      <c r="I245" s="375"/>
      <c r="J245" s="375"/>
      <c r="K245" s="375"/>
      <c r="L245" s="375">
        <f>Table148[[#This Row],[Ambitious target 2030]]+Table148[[#This Row],[Ambitious target 2030]]*0.5</f>
        <v>0</v>
      </c>
      <c r="M245" s="375"/>
      <c r="N245" s="375"/>
      <c r="O245" s="375"/>
      <c r="P245" s="375"/>
      <c r="Q245" s="375">
        <f>Table148[[#This Row],[Red target]]-Table148[[#This Row],[Red target]]*0.5</f>
        <v>0</v>
      </c>
      <c r="R245" s="375"/>
      <c r="S245" s="375"/>
      <c r="T245" s="375"/>
      <c r="U245" s="375"/>
      <c r="V245" s="375"/>
      <c r="W245" s="375"/>
      <c r="X245" s="375"/>
      <c r="Y245" s="375"/>
      <c r="Z245" s="375"/>
      <c r="AA245" s="375"/>
      <c r="AB245" s="375"/>
      <c r="AC245" s="399"/>
    </row>
    <row r="246" spans="1:35" s="362" customFormat="1" hidden="1" x14ac:dyDescent="0.25">
      <c r="A246" s="389"/>
      <c r="B246" s="372"/>
      <c r="C246" s="372"/>
      <c r="D246" s="372"/>
      <c r="E246" s="379"/>
      <c r="F246" s="380"/>
      <c r="G246" s="381"/>
      <c r="H246" s="421"/>
      <c r="I246" s="375"/>
      <c r="J246" s="375"/>
      <c r="K246" s="375"/>
      <c r="L246" s="375">
        <f>Table148[[#This Row],[Ambitious target 2030]]+Table148[[#This Row],[Ambitious target 2030]]*0.5</f>
        <v>0</v>
      </c>
      <c r="M246" s="375"/>
      <c r="N246" s="375"/>
      <c r="O246" s="375"/>
      <c r="P246" s="375"/>
      <c r="Q246" s="375">
        <f>Table148[[#This Row],[Red target]]-Table148[[#This Row],[Red target]]*0.5</f>
        <v>0</v>
      </c>
      <c r="R246" s="375"/>
      <c r="S246" s="375"/>
      <c r="T246" s="375"/>
      <c r="U246" s="375"/>
      <c r="V246" s="375"/>
      <c r="W246" s="375"/>
      <c r="X246" s="375"/>
      <c r="Y246" s="375"/>
      <c r="Z246" s="375"/>
      <c r="AA246" s="375"/>
      <c r="AB246" s="375"/>
      <c r="AC246" s="399"/>
    </row>
    <row r="247" spans="1:35" s="362" customFormat="1" hidden="1" x14ac:dyDescent="0.25">
      <c r="A247" s="389"/>
      <c r="B247" s="372"/>
      <c r="C247" s="372"/>
      <c r="D247" s="372"/>
      <c r="E247" s="379"/>
      <c r="F247" s="380"/>
      <c r="G247" s="381"/>
      <c r="H247" s="421"/>
      <c r="I247" s="375"/>
      <c r="J247" s="375"/>
      <c r="K247" s="375"/>
      <c r="L247" s="431">
        <f>Table148[[#This Row],[Ambitious target 2030]]+Table148[[#This Row],[Ambitious target 2030]]*0.5</f>
        <v>0</v>
      </c>
      <c r="M247" s="375"/>
      <c r="N247" s="375"/>
      <c r="O247" s="431"/>
      <c r="P247" s="431"/>
      <c r="Q247" s="431">
        <f>Table148[[#This Row],[Red target]]-Table148[[#This Row],[Red target]]*0.5</f>
        <v>0</v>
      </c>
      <c r="R247" s="431"/>
      <c r="S247" s="431"/>
      <c r="T247" s="431"/>
      <c r="U247" s="431"/>
      <c r="V247" s="431"/>
      <c r="W247" s="431"/>
      <c r="X247" s="431"/>
      <c r="Y247" s="431"/>
      <c r="Z247" s="431"/>
      <c r="AA247" s="375"/>
      <c r="AB247" s="375"/>
      <c r="AC247" s="399"/>
    </row>
    <row r="248" spans="1:35" s="362" customFormat="1" hidden="1" x14ac:dyDescent="0.25">
      <c r="A248" s="389"/>
      <c r="B248" s="372"/>
      <c r="C248" s="372"/>
      <c r="D248" s="372"/>
      <c r="E248" s="379"/>
      <c r="F248" s="380"/>
      <c r="G248" s="381"/>
      <c r="H248" s="421"/>
      <c r="I248" s="375"/>
      <c r="J248" s="375"/>
      <c r="K248" s="375"/>
      <c r="L248" s="431">
        <f>Table148[[#This Row],[Ambitious target 2030]]+Table148[[#This Row],[Ambitious target 2030]]*0.5</f>
        <v>0</v>
      </c>
      <c r="M248" s="375"/>
      <c r="N248" s="375"/>
      <c r="O248" s="431"/>
      <c r="P248" s="431"/>
      <c r="Q248" s="431">
        <f>Table148[[#This Row],[Red target]]-Table148[[#This Row],[Red target]]*0.5</f>
        <v>0</v>
      </c>
      <c r="R248" s="431"/>
      <c r="S248" s="431"/>
      <c r="T248" s="431"/>
      <c r="U248" s="431"/>
      <c r="V248" s="431"/>
      <c r="W248" s="431"/>
      <c r="X248" s="431"/>
      <c r="Y248" s="431"/>
      <c r="Z248" s="431"/>
      <c r="AA248" s="375"/>
      <c r="AB248" s="375"/>
      <c r="AC248" s="399"/>
    </row>
    <row r="249" spans="1:35" s="362" customFormat="1" hidden="1" x14ac:dyDescent="0.25">
      <c r="A249" s="389"/>
      <c r="B249" s="372"/>
      <c r="C249" s="372"/>
      <c r="D249" s="372"/>
      <c r="E249" s="382"/>
      <c r="F249" s="383"/>
      <c r="G249" s="384"/>
      <c r="H249" s="421"/>
      <c r="I249" s="375"/>
      <c r="J249" s="375"/>
      <c r="K249" s="375"/>
      <c r="L249" s="375">
        <f>Table148[[#This Row],[Ambitious target 2030]]+Table148[[#This Row],[Ambitious target 2030]]*0.5</f>
        <v>0</v>
      </c>
      <c r="M249" s="375"/>
      <c r="N249" s="375"/>
      <c r="O249" s="375"/>
      <c r="P249" s="375"/>
      <c r="Q249" s="375">
        <f>Table148[[#This Row],[Red target]]-Table148[[#This Row],[Red target]]*0.5</f>
        <v>0</v>
      </c>
      <c r="R249" s="375"/>
      <c r="S249" s="375"/>
      <c r="T249" s="375"/>
      <c r="U249" s="375"/>
      <c r="V249" s="375"/>
      <c r="W249" s="375"/>
      <c r="X249" s="375"/>
      <c r="Y249" s="375"/>
      <c r="Z249" s="375"/>
      <c r="AA249" s="375"/>
      <c r="AB249" s="375"/>
      <c r="AC249" s="399"/>
    </row>
    <row r="250" spans="1:35" s="362" customFormat="1" hidden="1" x14ac:dyDescent="0.25">
      <c r="A250" s="389"/>
      <c r="B250" s="372"/>
      <c r="C250" s="372"/>
      <c r="D250" s="372"/>
      <c r="E250" s="382"/>
      <c r="F250" s="383"/>
      <c r="G250" s="384"/>
      <c r="H250" s="421"/>
      <c r="I250" s="375"/>
      <c r="J250" s="375"/>
      <c r="K250" s="375"/>
      <c r="L250" s="375">
        <f>Table148[[#This Row],[Ambitious target 2030]]+Table148[[#This Row],[Ambitious target 2030]]*0.5</f>
        <v>0</v>
      </c>
      <c r="M250" s="375"/>
      <c r="N250" s="375"/>
      <c r="O250" s="375"/>
      <c r="P250" s="375"/>
      <c r="Q250" s="375">
        <f>Table148[[#This Row],[Red target]]-Table148[[#This Row],[Red target]]*0.5</f>
        <v>0</v>
      </c>
      <c r="R250" s="375"/>
      <c r="S250" s="375"/>
      <c r="T250" s="375"/>
      <c r="U250" s="375"/>
      <c r="V250" s="375"/>
      <c r="W250" s="375"/>
      <c r="X250" s="375"/>
      <c r="Y250" s="375"/>
      <c r="Z250" s="375"/>
      <c r="AA250" s="375"/>
      <c r="AB250" s="375"/>
      <c r="AC250" s="399"/>
    </row>
    <row r="251" spans="1:35" s="362" customFormat="1" hidden="1" x14ac:dyDescent="0.25">
      <c r="A251" s="389"/>
      <c r="B251" s="372"/>
      <c r="C251" s="372"/>
      <c r="D251" s="372"/>
      <c r="E251" s="382"/>
      <c r="F251" s="383"/>
      <c r="G251" s="384"/>
      <c r="H251" s="421"/>
      <c r="I251" s="375"/>
      <c r="J251" s="375"/>
      <c r="K251" s="375"/>
      <c r="L251" s="431">
        <f>Table148[[#This Row],[Ambitious target 2030]]+Table148[[#This Row],[Ambitious target 2030]]*0.5</f>
        <v>0</v>
      </c>
      <c r="M251" s="375"/>
      <c r="N251" s="375"/>
      <c r="O251" s="431"/>
      <c r="P251" s="431"/>
      <c r="Q251" s="431">
        <f>Table148[[#This Row],[Red target]]-Table148[[#This Row],[Red target]]*0.5</f>
        <v>0</v>
      </c>
      <c r="R251" s="431"/>
      <c r="S251" s="431"/>
      <c r="T251" s="431"/>
      <c r="U251" s="431"/>
      <c r="V251" s="431"/>
      <c r="W251" s="431"/>
      <c r="X251" s="431"/>
      <c r="Y251" s="431"/>
      <c r="Z251" s="431"/>
      <c r="AA251" s="375"/>
      <c r="AB251" s="375"/>
      <c r="AC251" s="399"/>
    </row>
    <row r="252" spans="1:35" s="362" customFormat="1" hidden="1" x14ac:dyDescent="0.25">
      <c r="A252" s="389"/>
      <c r="B252" s="372"/>
      <c r="C252" s="372"/>
      <c r="D252" s="372"/>
      <c r="E252" s="382"/>
      <c r="F252" s="383"/>
      <c r="G252" s="384"/>
      <c r="H252" s="421"/>
      <c r="I252" s="375"/>
      <c r="J252" s="375"/>
      <c r="K252" s="375"/>
      <c r="L252" s="431">
        <f>Table148[[#This Row],[Ambitious target 2030]]+Table148[[#This Row],[Ambitious target 2030]]*0.5</f>
        <v>0</v>
      </c>
      <c r="M252" s="375"/>
      <c r="N252" s="375"/>
      <c r="O252" s="431"/>
      <c r="P252" s="431"/>
      <c r="Q252" s="431">
        <f>Table148[[#This Row],[Red target]]-Table148[[#This Row],[Red target]]*0.5</f>
        <v>0</v>
      </c>
      <c r="R252" s="431"/>
      <c r="S252" s="431"/>
      <c r="T252" s="431"/>
      <c r="U252" s="431"/>
      <c r="V252" s="431"/>
      <c r="W252" s="431"/>
      <c r="X252" s="431"/>
      <c r="Y252" s="431"/>
      <c r="Z252" s="431"/>
      <c r="AA252" s="375"/>
      <c r="AB252" s="375"/>
      <c r="AC252" s="399"/>
    </row>
    <row r="253" spans="1:35" s="362" customFormat="1" hidden="1" x14ac:dyDescent="0.25">
      <c r="A253" s="389"/>
      <c r="B253" s="372"/>
      <c r="C253" s="372"/>
      <c r="D253" s="372"/>
      <c r="E253" s="382"/>
      <c r="F253" s="383"/>
      <c r="G253" s="384"/>
      <c r="H253" s="421"/>
      <c r="I253" s="375"/>
      <c r="J253" s="375"/>
      <c r="K253" s="375"/>
      <c r="L253" s="431">
        <f>Table148[[#This Row],[Ambitious target 2030]]+Table148[[#This Row],[Ambitious target 2030]]*0.5</f>
        <v>0</v>
      </c>
      <c r="M253" s="375"/>
      <c r="N253" s="375"/>
      <c r="O253" s="431"/>
      <c r="P253" s="431"/>
      <c r="Q253" s="431">
        <f>Table148[[#This Row],[Red target]]-Table148[[#This Row],[Red target]]*0.5</f>
        <v>0</v>
      </c>
      <c r="R253" s="431"/>
      <c r="S253" s="431"/>
      <c r="T253" s="431"/>
      <c r="U253" s="431"/>
      <c r="V253" s="431"/>
      <c r="W253" s="431"/>
      <c r="X253" s="431"/>
      <c r="Y253" s="431"/>
      <c r="Z253" s="431"/>
      <c r="AA253" s="375"/>
      <c r="AB253" s="375"/>
      <c r="AC253" s="399"/>
    </row>
    <row r="254" spans="1:35" s="386" customFormat="1" hidden="1" x14ac:dyDescent="0.25">
      <c r="A254" s="409"/>
      <c r="B254" s="406"/>
      <c r="C254" s="406"/>
      <c r="D254" s="406"/>
      <c r="E254" s="407">
        <v>2013</v>
      </c>
      <c r="F254" s="407">
        <v>2014</v>
      </c>
      <c r="G254" s="407">
        <v>2015</v>
      </c>
      <c r="H254" s="407"/>
      <c r="I254" s="407"/>
      <c r="J254" s="407"/>
      <c r="K254" s="407"/>
      <c r="L254" s="407">
        <f>Table148[[#This Row],[Ambitious target 2030]]+Table148[[#This Row],[Ambitious target 2030]]*0.5</f>
        <v>0</v>
      </c>
      <c r="M254" s="407"/>
      <c r="N254" s="407"/>
      <c r="O254" s="407"/>
      <c r="P254" s="407"/>
      <c r="Q254" s="407">
        <f>Table148[[#This Row],[Red target]]-Table148[[#This Row],[Red target]]*0.5</f>
        <v>0</v>
      </c>
      <c r="R254" s="407"/>
      <c r="S254" s="407"/>
      <c r="T254" s="407"/>
      <c r="U254" s="407"/>
      <c r="V254" s="407"/>
      <c r="W254" s="407"/>
      <c r="X254" s="407"/>
      <c r="Y254" s="407"/>
      <c r="Z254" s="407"/>
      <c r="AA254" s="407"/>
      <c r="AB254" s="407"/>
      <c r="AC254" s="413"/>
    </row>
    <row r="255" spans="1:35" x14ac:dyDescent="0.25">
      <c r="A255" s="418" t="s">
        <v>571</v>
      </c>
      <c r="B255" s="437" t="s">
        <v>483</v>
      </c>
      <c r="C255" s="437" t="s">
        <v>843</v>
      </c>
      <c r="D255" s="436" t="s">
        <v>904</v>
      </c>
      <c r="E255" s="420">
        <v>5.488310501</v>
      </c>
      <c r="F255" s="420">
        <v>5.2860607750000002</v>
      </c>
      <c r="G255" s="420">
        <v>5.1313796829999996</v>
      </c>
      <c r="H255" s="421">
        <v>2015</v>
      </c>
      <c r="I255" s="421">
        <v>5.1313796829999996</v>
      </c>
      <c r="J255" s="421">
        <v>2015</v>
      </c>
      <c r="K255" s="411">
        <v>7.7073099999999997</v>
      </c>
      <c r="L255" s="411">
        <f>Table148[[#This Row],[Ambitious target 2030]]-Table148[[#This Row],[Ambitious target 2030]]*0.5</f>
        <v>1.924267381125</v>
      </c>
      <c r="M255" s="421">
        <f>I255*0.75</f>
        <v>3.8485347622499999</v>
      </c>
      <c r="N255" s="421"/>
      <c r="O255" s="421">
        <f>(M255-K255)*0.5+K255</f>
        <v>5.7779223811250002</v>
      </c>
      <c r="P255" s="421">
        <f>(Table148[[#This Row],[Ambitious target 2030]]-Table148[[#This Row],[Model reference value]])*0.25+Table148[[#This Row],[Model reference value]]</f>
        <v>6.7426161905624999</v>
      </c>
      <c r="Q255" s="421">
        <f>Table148[[#This Row],[Red target]]+Table148[[#This Row],[Red target]]*0.5</f>
        <v>11.560964999999999</v>
      </c>
      <c r="R255" s="421">
        <f>I255*0.5</f>
        <v>2.5656898414999998</v>
      </c>
      <c r="S255" s="421"/>
      <c r="T255" s="421">
        <f>(Table148[[#This Row],[Ambitious target 2050]]-Table148[[#This Row],[Model reference value]])*0.5+Table148[[#This Row],[Model reference value]]</f>
        <v>5.1364999207499995</v>
      </c>
      <c r="U255" s="421">
        <f>(Table148[[#This Row],[Ambitious target 2050]]-Table148[[#This Row],[Model reference value]])*0.25+Table148[[#This Row],[Model reference value]]</f>
        <v>6.4219049603749996</v>
      </c>
      <c r="V255" s="421">
        <f>I255*0.2</f>
        <v>1.0262759366</v>
      </c>
      <c r="W255" s="421"/>
      <c r="X255" s="421">
        <f>(Table148[[#This Row],[Ambitious target 2100]]-Table148[[#This Row],[Model reference value]])*0.5+Table148[[#This Row],[Model reference value]]</f>
        <v>4.3667929683000004</v>
      </c>
      <c r="Y255" s="421">
        <f>(Table148[[#This Row],[Ambitious target 2100]]-Table148[[#This Row],[Model reference value]])*0.25+Table148[[#This Row],[Model reference value]]</f>
        <v>6.03705148415</v>
      </c>
      <c r="Z255" s="421">
        <f>K255</f>
        <v>7.7073099999999997</v>
      </c>
      <c r="AA255" s="421" t="s">
        <v>982</v>
      </c>
      <c r="AB255" s="421" t="s">
        <v>1167</v>
      </c>
      <c r="AC255" s="419" t="s">
        <v>839</v>
      </c>
      <c r="AD255" s="360"/>
      <c r="AE255" s="360"/>
      <c r="AF255" s="360"/>
      <c r="AG255" s="360"/>
      <c r="AH255" s="360"/>
      <c r="AI255" s="360"/>
    </row>
    <row r="256" spans="1:35" hidden="1" x14ac:dyDescent="0.25">
      <c r="A256" s="390"/>
      <c r="B256" s="369"/>
      <c r="C256" s="369"/>
      <c r="D256" s="378" t="s">
        <v>712</v>
      </c>
      <c r="E256" s="379">
        <v>16.734988560000001</v>
      </c>
      <c r="F256" s="380">
        <v>16.582300740000001</v>
      </c>
      <c r="G256" s="381">
        <v>17.310574519999999</v>
      </c>
      <c r="H256" s="421"/>
      <c r="I256" s="375"/>
      <c r="J256" s="375"/>
      <c r="K256" s="375"/>
      <c r="L256" s="375">
        <f>Table148[[#This Row],[Ambitious target 2030]]+Table148[[#This Row],[Ambitious target 2030]]*0.5</f>
        <v>0</v>
      </c>
      <c r="M256" s="375"/>
      <c r="N256" s="375"/>
      <c r="O256" s="375"/>
      <c r="P256" s="375"/>
      <c r="Q256" s="375">
        <f>Table148[[#This Row],[Red target]]-Table148[[#This Row],[Red target]]*0.5</f>
        <v>0</v>
      </c>
      <c r="R256" s="375"/>
      <c r="S256" s="375"/>
      <c r="T256" s="375"/>
      <c r="U256" s="375"/>
      <c r="V256" s="375"/>
      <c r="W256" s="375"/>
      <c r="X256" s="375"/>
      <c r="Y256" s="375"/>
      <c r="Z256" s="375"/>
      <c r="AA256" s="375"/>
      <c r="AB256" s="375"/>
      <c r="AC256" s="396"/>
      <c r="AD256" s="360"/>
      <c r="AE256" s="360"/>
      <c r="AF256" s="360"/>
      <c r="AG256" s="360"/>
      <c r="AH256" s="360"/>
      <c r="AI256" s="360"/>
    </row>
    <row r="257" spans="1:35" hidden="1" x14ac:dyDescent="0.25">
      <c r="A257" s="390"/>
      <c r="B257" s="369"/>
      <c r="C257" s="369"/>
      <c r="D257" s="378" t="s">
        <v>840</v>
      </c>
      <c r="E257" s="379">
        <v>11.89074847</v>
      </c>
      <c r="F257" s="380">
        <v>11.0696613</v>
      </c>
      <c r="G257" s="381">
        <v>9.9933753870000004</v>
      </c>
      <c r="H257" s="421"/>
      <c r="I257" s="375"/>
      <c r="J257" s="375"/>
      <c r="K257" s="375"/>
      <c r="L257" s="375">
        <f>Table148[[#This Row],[Ambitious target 2030]]+Table148[[#This Row],[Ambitious target 2030]]*0.5</f>
        <v>0</v>
      </c>
      <c r="M257" s="375"/>
      <c r="N257" s="375"/>
      <c r="O257" s="375"/>
      <c r="P257" s="375"/>
      <c r="Q257" s="375">
        <f>Table148[[#This Row],[Red target]]-Table148[[#This Row],[Red target]]*0.5</f>
        <v>0</v>
      </c>
      <c r="R257" s="375"/>
      <c r="S257" s="375"/>
      <c r="T257" s="375"/>
      <c r="U257" s="375"/>
      <c r="V257" s="375"/>
      <c r="W257" s="375"/>
      <c r="X257" s="375"/>
      <c r="Y257" s="375"/>
      <c r="Z257" s="375"/>
      <c r="AA257" s="375"/>
      <c r="AB257" s="375"/>
      <c r="AC257" s="396"/>
      <c r="AD257" s="360"/>
      <c r="AE257" s="360"/>
      <c r="AF257" s="360"/>
      <c r="AG257" s="360"/>
      <c r="AH257" s="360"/>
      <c r="AI257" s="360"/>
    </row>
    <row r="258" spans="1:35" hidden="1" x14ac:dyDescent="0.25">
      <c r="A258" s="390"/>
      <c r="B258" s="369"/>
      <c r="C258" s="369"/>
      <c r="D258" s="378" t="s">
        <v>776</v>
      </c>
      <c r="E258" s="379">
        <v>8.8373241339999993</v>
      </c>
      <c r="F258" s="380">
        <v>9.0336274939999992</v>
      </c>
      <c r="G258" s="381">
        <v>8.6993253500000005</v>
      </c>
      <c r="H258" s="421"/>
      <c r="I258" s="375"/>
      <c r="J258" s="375"/>
      <c r="K258" s="375"/>
      <c r="L258" s="375">
        <f>Table148[[#This Row],[Ambitious target 2030]]+Table148[[#This Row],[Ambitious target 2030]]*0.5</f>
        <v>0</v>
      </c>
      <c r="M258" s="375"/>
      <c r="N258" s="375"/>
      <c r="O258" s="375"/>
      <c r="P258" s="375"/>
      <c r="Q258" s="375">
        <f>Table148[[#This Row],[Red target]]-Table148[[#This Row],[Red target]]*0.5</f>
        <v>0</v>
      </c>
      <c r="R258" s="375"/>
      <c r="S258" s="375"/>
      <c r="T258" s="375"/>
      <c r="U258" s="375"/>
      <c r="V258" s="375"/>
      <c r="W258" s="375"/>
      <c r="X258" s="375"/>
      <c r="Y258" s="375"/>
      <c r="Z258" s="375"/>
      <c r="AA258" s="375"/>
      <c r="AB258" s="375"/>
      <c r="AC258" s="396"/>
      <c r="AD258" s="360"/>
      <c r="AE258" s="360"/>
      <c r="AF258" s="360"/>
      <c r="AG258" s="360"/>
      <c r="AH258" s="360"/>
      <c r="AI258" s="360"/>
    </row>
    <row r="259" spans="1:35" hidden="1" x14ac:dyDescent="0.25">
      <c r="A259" s="390"/>
      <c r="B259" s="369"/>
      <c r="C259" s="369"/>
      <c r="D259" s="378" t="s">
        <v>841</v>
      </c>
      <c r="E259" s="379">
        <v>8.4565370820000005</v>
      </c>
      <c r="F259" s="380">
        <v>8.3456060240000003</v>
      </c>
      <c r="G259" s="381">
        <v>8.4132177509999995</v>
      </c>
      <c r="H259" s="421"/>
      <c r="I259" s="375"/>
      <c r="J259" s="375"/>
      <c r="K259" s="375"/>
      <c r="L259" s="375">
        <f>Table148[[#This Row],[Ambitious target 2030]]+Table148[[#This Row],[Ambitious target 2030]]*0.5</f>
        <v>0</v>
      </c>
      <c r="M259" s="375"/>
      <c r="N259" s="375"/>
      <c r="O259" s="375"/>
      <c r="P259" s="375"/>
      <c r="Q259" s="375">
        <f>Table148[[#This Row],[Red target]]-Table148[[#This Row],[Red target]]*0.5</f>
        <v>0</v>
      </c>
      <c r="R259" s="375"/>
      <c r="S259" s="375"/>
      <c r="T259" s="375"/>
      <c r="U259" s="375"/>
      <c r="V259" s="375"/>
      <c r="W259" s="375"/>
      <c r="X259" s="375"/>
      <c r="Y259" s="375"/>
      <c r="Z259" s="375"/>
      <c r="AA259" s="375"/>
      <c r="AB259" s="375"/>
      <c r="AC259" s="396"/>
      <c r="AD259" s="360"/>
      <c r="AE259" s="360"/>
      <c r="AF259" s="360"/>
      <c r="AG259" s="360"/>
      <c r="AH259" s="360"/>
      <c r="AI259" s="360"/>
    </row>
    <row r="260" spans="1:35" hidden="1" x14ac:dyDescent="0.25">
      <c r="A260" s="390"/>
      <c r="B260" s="369"/>
      <c r="C260" s="369"/>
      <c r="D260" s="378" t="s">
        <v>842</v>
      </c>
      <c r="E260" s="379">
        <v>7.9524161830000004</v>
      </c>
      <c r="F260" s="380">
        <v>8.1606778260000006</v>
      </c>
      <c r="G260" s="381">
        <v>8.3922668569999992</v>
      </c>
      <c r="H260" s="421"/>
      <c r="I260" s="375"/>
      <c r="J260" s="375"/>
      <c r="K260" s="375"/>
      <c r="L260" s="375">
        <f>Table148[[#This Row],[Ambitious target 2030]]+Table148[[#This Row],[Ambitious target 2030]]*0.5</f>
        <v>0</v>
      </c>
      <c r="M260" s="375"/>
      <c r="N260" s="375"/>
      <c r="O260" s="375"/>
      <c r="P260" s="375"/>
      <c r="Q260" s="375">
        <f>Table148[[#This Row],[Red target]]-Table148[[#This Row],[Red target]]*0.5</f>
        <v>0</v>
      </c>
      <c r="R260" s="375"/>
      <c r="S260" s="375"/>
      <c r="T260" s="375"/>
      <c r="U260" s="375"/>
      <c r="V260" s="375"/>
      <c r="W260" s="375"/>
      <c r="X260" s="375"/>
      <c r="Y260" s="375"/>
      <c r="Z260" s="375"/>
      <c r="AA260" s="375"/>
      <c r="AB260" s="375"/>
      <c r="AC260" s="396"/>
      <c r="AD260" s="360"/>
      <c r="AE260" s="360"/>
      <c r="AF260" s="360"/>
      <c r="AG260" s="360"/>
      <c r="AH260" s="360"/>
      <c r="AI260" s="360"/>
    </row>
    <row r="261" spans="1:35" hidden="1" x14ac:dyDescent="0.25">
      <c r="A261" s="390"/>
      <c r="B261" s="369"/>
      <c r="C261" s="369"/>
      <c r="D261" s="378" t="s">
        <v>708</v>
      </c>
      <c r="E261" s="382">
        <v>1.573636727</v>
      </c>
      <c r="F261" s="383">
        <v>1.5536858140000001</v>
      </c>
      <c r="G261" s="384">
        <v>1.488085793</v>
      </c>
      <c r="H261" s="421"/>
      <c r="I261" s="375"/>
      <c r="J261" s="375"/>
      <c r="K261" s="375"/>
      <c r="L261" s="375">
        <f>Table148[[#This Row],[Ambitious target 2030]]+Table148[[#This Row],[Ambitious target 2030]]*0.5</f>
        <v>0</v>
      </c>
      <c r="M261" s="375"/>
      <c r="N261" s="375"/>
      <c r="O261" s="375"/>
      <c r="P261" s="375"/>
      <c r="Q261" s="375">
        <f>Table148[[#This Row],[Red target]]-Table148[[#This Row],[Red target]]*0.5</f>
        <v>0</v>
      </c>
      <c r="R261" s="375"/>
      <c r="S261" s="375"/>
      <c r="T261" s="375"/>
      <c r="U261" s="375"/>
      <c r="V261" s="375"/>
      <c r="W261" s="375"/>
      <c r="X261" s="375"/>
      <c r="Y261" s="375"/>
      <c r="Z261" s="375"/>
      <c r="AA261" s="375"/>
      <c r="AB261" s="375"/>
      <c r="AC261" s="396"/>
      <c r="AD261" s="360"/>
      <c r="AE261" s="360"/>
      <c r="AF261" s="360"/>
      <c r="AG261" s="360"/>
      <c r="AH261" s="360"/>
      <c r="AI261" s="360"/>
    </row>
    <row r="262" spans="1:35" hidden="1" x14ac:dyDescent="0.25">
      <c r="A262" s="390"/>
      <c r="B262" s="369"/>
      <c r="C262" s="369"/>
      <c r="D262" s="378" t="s">
        <v>681</v>
      </c>
      <c r="E262" s="382">
        <v>2.5662079969999998</v>
      </c>
      <c r="F262" s="383">
        <v>2.3651286439999999</v>
      </c>
      <c r="G262" s="384">
        <v>1.94829341</v>
      </c>
      <c r="H262" s="421"/>
      <c r="I262" s="375"/>
      <c r="J262" s="375"/>
      <c r="K262" s="375"/>
      <c r="L262" s="375">
        <f>Table148[[#This Row],[Ambitious target 2030]]+Table148[[#This Row],[Ambitious target 2030]]*0.5</f>
        <v>0</v>
      </c>
      <c r="M262" s="375"/>
      <c r="N262" s="375"/>
      <c r="O262" s="375"/>
      <c r="P262" s="375"/>
      <c r="Q262" s="375">
        <f>Table148[[#This Row],[Red target]]-Table148[[#This Row],[Red target]]*0.5</f>
        <v>0</v>
      </c>
      <c r="R262" s="375"/>
      <c r="S262" s="375"/>
      <c r="T262" s="375"/>
      <c r="U262" s="375"/>
      <c r="V262" s="375"/>
      <c r="W262" s="375"/>
      <c r="X262" s="375"/>
      <c r="Y262" s="375"/>
      <c r="Z262" s="375"/>
      <c r="AA262" s="375"/>
      <c r="AB262" s="375"/>
      <c r="AC262" s="396"/>
      <c r="AD262" s="360"/>
      <c r="AE262" s="360"/>
      <c r="AF262" s="360"/>
      <c r="AG262" s="360"/>
      <c r="AH262" s="360"/>
      <c r="AI262" s="360"/>
    </row>
    <row r="263" spans="1:35" hidden="1" x14ac:dyDescent="0.25">
      <c r="A263" s="390"/>
      <c r="B263" s="369"/>
      <c r="C263" s="369"/>
      <c r="D263" s="378" t="s">
        <v>844</v>
      </c>
      <c r="E263" s="382">
        <v>1.9929817830000001</v>
      </c>
      <c r="F263" s="383">
        <v>2.0328378420000002</v>
      </c>
      <c r="G263" s="384">
        <v>2.0641317899999998</v>
      </c>
      <c r="H263" s="421"/>
      <c r="I263" s="375"/>
      <c r="J263" s="375"/>
      <c r="K263" s="375"/>
      <c r="L263" s="375">
        <f>Table148[[#This Row],[Ambitious target 2030]]+Table148[[#This Row],[Ambitious target 2030]]*0.5</f>
        <v>0</v>
      </c>
      <c r="M263" s="375"/>
      <c r="N263" s="375"/>
      <c r="O263" s="375"/>
      <c r="P263" s="375"/>
      <c r="Q263" s="375">
        <f>Table148[[#This Row],[Red target]]-Table148[[#This Row],[Red target]]*0.5</f>
        <v>0</v>
      </c>
      <c r="R263" s="375"/>
      <c r="S263" s="375"/>
      <c r="T263" s="375"/>
      <c r="U263" s="375"/>
      <c r="V263" s="375"/>
      <c r="W263" s="375"/>
      <c r="X263" s="375"/>
      <c r="Y263" s="375"/>
      <c r="Z263" s="375"/>
      <c r="AA263" s="375"/>
      <c r="AB263" s="375"/>
      <c r="AC263" s="396"/>
      <c r="AD263" s="360"/>
      <c r="AE263" s="360"/>
      <c r="AF263" s="360"/>
      <c r="AG263" s="360"/>
      <c r="AH263" s="360"/>
      <c r="AI263" s="360"/>
    </row>
    <row r="264" spans="1:35" hidden="1" x14ac:dyDescent="0.25">
      <c r="A264" s="390"/>
      <c r="B264" s="369"/>
      <c r="C264" s="369"/>
      <c r="D264" s="378" t="s">
        <v>845</v>
      </c>
      <c r="E264" s="382">
        <v>2.1300609690000001</v>
      </c>
      <c r="F264" s="383">
        <v>2.1336234599999999</v>
      </c>
      <c r="G264" s="384">
        <v>2.1072221440000001</v>
      </c>
      <c r="H264" s="421"/>
      <c r="I264" s="375"/>
      <c r="J264" s="375"/>
      <c r="K264" s="375"/>
      <c r="L264" s="375">
        <f>Table148[[#This Row],[Ambitious target 2030]]+Table148[[#This Row],[Ambitious target 2030]]*0.5</f>
        <v>0</v>
      </c>
      <c r="M264" s="375"/>
      <c r="N264" s="375"/>
      <c r="O264" s="375"/>
      <c r="P264" s="375"/>
      <c r="Q264" s="375">
        <f>Table148[[#This Row],[Red target]]-Table148[[#This Row],[Red target]]*0.5</f>
        <v>0</v>
      </c>
      <c r="R264" s="375"/>
      <c r="S264" s="375"/>
      <c r="T264" s="375"/>
      <c r="U264" s="375"/>
      <c r="V264" s="375"/>
      <c r="W264" s="375"/>
      <c r="X264" s="375"/>
      <c r="Y264" s="375"/>
      <c r="Z264" s="375"/>
      <c r="AA264" s="375"/>
      <c r="AB264" s="375"/>
      <c r="AC264" s="396"/>
      <c r="AD264" s="360"/>
      <c r="AE264" s="360"/>
      <c r="AF264" s="360"/>
      <c r="AG264" s="360"/>
      <c r="AH264" s="360"/>
      <c r="AI264" s="360"/>
    </row>
    <row r="265" spans="1:35" hidden="1" x14ac:dyDescent="0.25">
      <c r="A265" s="390"/>
      <c r="B265" s="369"/>
      <c r="C265" s="369"/>
      <c r="D265" s="378" t="s">
        <v>700</v>
      </c>
      <c r="E265" s="382">
        <v>2.5192469700000002</v>
      </c>
      <c r="F265" s="383">
        <v>2.2604591460000001</v>
      </c>
      <c r="G265" s="384">
        <v>2.194576273</v>
      </c>
      <c r="H265" s="421"/>
      <c r="I265" s="375"/>
      <c r="J265" s="375"/>
      <c r="K265" s="375"/>
      <c r="L265" s="375">
        <f>Table148[[#This Row],[Ambitious target 2030]]+Table148[[#This Row],[Ambitious target 2030]]*0.5</f>
        <v>0</v>
      </c>
      <c r="M265" s="375"/>
      <c r="N265" s="375"/>
      <c r="O265" s="375"/>
      <c r="P265" s="375"/>
      <c r="Q265" s="375">
        <f>Table148[[#This Row],[Red target]]-Table148[[#This Row],[Red target]]*0.5</f>
        <v>0</v>
      </c>
      <c r="R265" s="375"/>
      <c r="S265" s="375"/>
      <c r="T265" s="375"/>
      <c r="U265" s="375"/>
      <c r="V265" s="375"/>
      <c r="W265" s="375"/>
      <c r="X265" s="375"/>
      <c r="Y265" s="375"/>
      <c r="Z265" s="375"/>
      <c r="AA265" s="375"/>
      <c r="AB265" s="375"/>
      <c r="AC265" s="396"/>
      <c r="AD265" s="360"/>
      <c r="AE265" s="360"/>
      <c r="AF265" s="360"/>
      <c r="AG265" s="360"/>
      <c r="AH265" s="360"/>
      <c r="AI265" s="360"/>
    </row>
    <row r="266" spans="1:35" s="386" customFormat="1" hidden="1" x14ac:dyDescent="0.25">
      <c r="A266" s="409"/>
      <c r="B266" s="406"/>
      <c r="C266" s="406"/>
      <c r="D266" s="406"/>
      <c r="E266" s="407">
        <v>2016</v>
      </c>
      <c r="F266" s="407">
        <v>2017</v>
      </c>
      <c r="G266" s="407">
        <v>2018</v>
      </c>
      <c r="H266" s="407"/>
      <c r="I266" s="407"/>
      <c r="J266" s="407"/>
      <c r="K266" s="407"/>
      <c r="L266" s="407">
        <f>Table148[[#This Row],[Ambitious target 2030]]+Table148[[#This Row],[Ambitious target 2030]]*0.5</f>
        <v>0</v>
      </c>
      <c r="M266" s="407"/>
      <c r="N266" s="407"/>
      <c r="O266" s="407"/>
      <c r="P266" s="407"/>
      <c r="Q266" s="407">
        <f>Table148[[#This Row],[Red target]]-Table148[[#This Row],[Red target]]*0.5</f>
        <v>0</v>
      </c>
      <c r="R266" s="407"/>
      <c r="S266" s="407"/>
      <c r="T266" s="407"/>
      <c r="U266" s="407"/>
      <c r="V266" s="407"/>
      <c r="W266" s="407"/>
      <c r="X266" s="407"/>
      <c r="Y266" s="407"/>
      <c r="Z266" s="407"/>
      <c r="AA266" s="407"/>
      <c r="AB266" s="407"/>
      <c r="AC266" s="413"/>
    </row>
    <row r="267" spans="1:35" x14ac:dyDescent="0.25">
      <c r="A267" s="418" t="s">
        <v>527</v>
      </c>
      <c r="B267" s="437" t="s">
        <v>1122</v>
      </c>
      <c r="C267" s="437" t="s">
        <v>582</v>
      </c>
      <c r="D267" s="436" t="s">
        <v>904</v>
      </c>
      <c r="E267" s="420">
        <v>10.2580066199183</v>
      </c>
      <c r="F267" s="420">
        <v>10.780813151679199</v>
      </c>
      <c r="G267" s="420">
        <v>11.317270582730499</v>
      </c>
      <c r="H267" s="421">
        <v>2016</v>
      </c>
      <c r="I267" s="421">
        <v>10.2580066199183</v>
      </c>
      <c r="J267" s="421">
        <v>2015</v>
      </c>
      <c r="K267" s="411">
        <v>8.3279399999999999</v>
      </c>
      <c r="L267" s="411">
        <f>Table148[[#This Row],[Ambitious target 2030]]+Table148[[#This Row],[Ambitious target 2030]]*0.5</f>
        <v>34.47</v>
      </c>
      <c r="M267" s="421">
        <v>22.98</v>
      </c>
      <c r="N267" s="421"/>
      <c r="O267" s="421">
        <f>(M267-K267)*0.5+K267</f>
        <v>15.653970000000001</v>
      </c>
      <c r="P267" s="421">
        <f>(Table148[[#This Row],[Ambitious target 2030]]-Table148[[#This Row],[Model reference value]])*0.25+Table148[[#This Row],[Model reference value]]</f>
        <v>11.990955</v>
      </c>
      <c r="Q267" s="421">
        <f>Table148[[#This Row],[Red target]]-Table148[[#This Row],[Red target]]*0.5</f>
        <v>4.1639699999999999</v>
      </c>
      <c r="R267" s="421">
        <v>42.511000000000003</v>
      </c>
      <c r="S267" s="421"/>
      <c r="T267" s="421">
        <f>(Table148[[#This Row],[Ambitious target 2050]]-Table148[[#This Row],[Model reference value]])*0.5+Table148[[#This Row],[Model reference value]]</f>
        <v>25.419470000000004</v>
      </c>
      <c r="U267" s="421">
        <f>(Table148[[#This Row],[Ambitious target 2050]]-Table148[[#This Row],[Model reference value]])*0.25+Table148[[#This Row],[Model reference value]]</f>
        <v>16.873705000000001</v>
      </c>
      <c r="V267" s="421">
        <v>139.797</v>
      </c>
      <c r="W267" s="421"/>
      <c r="X267" s="421">
        <f>(Table148[[#This Row],[Ambitious target 2100]]-Table148[[#This Row],[Model reference value]])*0.5+Table148[[#This Row],[Model reference value]]</f>
        <v>74.06246999999999</v>
      </c>
      <c r="Y267" s="421">
        <f>(Table148[[#This Row],[Ambitious target 2100]]-Table148[[#This Row],[Model reference value]])*0.25+Table148[[#This Row],[Model reference value]]</f>
        <v>41.195204999999994</v>
      </c>
      <c r="Z267" s="421">
        <f>K267</f>
        <v>8.3279399999999999</v>
      </c>
      <c r="AA267" s="421" t="s">
        <v>982</v>
      </c>
      <c r="AB267" s="421" t="s">
        <v>1177</v>
      </c>
      <c r="AC267" s="419" t="s">
        <v>698</v>
      </c>
      <c r="AD267" s="360"/>
      <c r="AE267" s="360"/>
      <c r="AF267" s="360"/>
      <c r="AG267" s="360"/>
      <c r="AH267" s="360"/>
      <c r="AI267" s="360"/>
    </row>
    <row r="268" spans="1:35" hidden="1" x14ac:dyDescent="0.25">
      <c r="A268" s="390"/>
      <c r="B268" s="369"/>
      <c r="C268" s="369"/>
      <c r="D268" s="369" t="s">
        <v>699</v>
      </c>
      <c r="E268" s="379">
        <v>104.278390971905</v>
      </c>
      <c r="F268" s="380">
        <v>107.361306947271</v>
      </c>
      <c r="G268" s="381">
        <v>116.59729563795399</v>
      </c>
      <c r="H268" s="421"/>
      <c r="I268" s="375"/>
      <c r="J268" s="375"/>
      <c r="K268" s="375"/>
      <c r="L268" s="375">
        <f>Table148[[#This Row],[Ambitious target 2030]]+Table148[[#This Row],[Ambitious target 2030]]*0.5</f>
        <v>0</v>
      </c>
      <c r="M268" s="375"/>
      <c r="N268" s="375"/>
      <c r="O268" s="375"/>
      <c r="P268" s="375"/>
      <c r="Q268" s="375">
        <f>Table148[[#This Row],[Red target]]-Table148[[#This Row],[Red target]]*0.5</f>
        <v>0</v>
      </c>
      <c r="R268" s="375"/>
      <c r="S268" s="375"/>
      <c r="T268" s="375"/>
      <c r="U268" s="375"/>
      <c r="V268" s="375"/>
      <c r="W268" s="375"/>
      <c r="X268" s="375"/>
      <c r="Y268" s="375"/>
      <c r="Z268" s="375"/>
      <c r="AA268" s="375"/>
      <c r="AB268" s="375"/>
      <c r="AC268" s="396"/>
      <c r="AD268" s="360"/>
      <c r="AE268" s="360"/>
      <c r="AF268" s="360"/>
      <c r="AG268" s="360"/>
      <c r="AH268" s="360"/>
      <c r="AI268" s="360"/>
    </row>
    <row r="269" spans="1:35" hidden="1" x14ac:dyDescent="0.25">
      <c r="A269" s="390"/>
      <c r="B269" s="369"/>
      <c r="C269" s="369"/>
      <c r="D269" s="369" t="s">
        <v>700</v>
      </c>
      <c r="E269" s="379">
        <v>80.172193303926605</v>
      </c>
      <c r="F269" s="380">
        <v>80.450045819741291</v>
      </c>
      <c r="G269" s="381">
        <v>82.828797372173</v>
      </c>
      <c r="H269" s="421"/>
      <c r="I269" s="375"/>
      <c r="J269" s="375"/>
      <c r="K269" s="375"/>
      <c r="L269" s="375">
        <f>Table148[[#This Row],[Ambitious target 2030]]+Table148[[#This Row],[Ambitious target 2030]]*0.5</f>
        <v>0</v>
      </c>
      <c r="M269" s="375"/>
      <c r="N269" s="375"/>
      <c r="O269" s="375"/>
      <c r="P269" s="375"/>
      <c r="Q269" s="375">
        <f>Table148[[#This Row],[Red target]]-Table148[[#This Row],[Red target]]*0.5</f>
        <v>0</v>
      </c>
      <c r="R269" s="375"/>
      <c r="S269" s="375"/>
      <c r="T269" s="375"/>
      <c r="U269" s="375"/>
      <c r="V269" s="375"/>
      <c r="W269" s="375"/>
      <c r="X269" s="375"/>
      <c r="Y269" s="375"/>
      <c r="Z269" s="375"/>
      <c r="AA269" s="375"/>
      <c r="AB269" s="375"/>
      <c r="AC269" s="396"/>
      <c r="AD269" s="360"/>
      <c r="AE269" s="360"/>
      <c r="AF269" s="360"/>
      <c r="AG269" s="360"/>
      <c r="AH269" s="360"/>
      <c r="AI269" s="360"/>
    </row>
    <row r="270" spans="1:35" hidden="1" x14ac:dyDescent="0.25">
      <c r="A270" s="390"/>
      <c r="B270" s="369"/>
      <c r="C270" s="369"/>
      <c r="D270" s="369" t="s">
        <v>701</v>
      </c>
      <c r="E270" s="379">
        <v>57.1630609918357</v>
      </c>
      <c r="F270" s="380">
        <v>61.264396477797895</v>
      </c>
      <c r="G270" s="381">
        <v>68.793784437261408</v>
      </c>
      <c r="H270" s="421"/>
      <c r="I270" s="375"/>
      <c r="J270" s="375"/>
      <c r="K270" s="375"/>
      <c r="L270" s="375">
        <f>Table148[[#This Row],[Ambitious target 2030]]+Table148[[#This Row],[Ambitious target 2030]]*0.5</f>
        <v>0</v>
      </c>
      <c r="M270" s="375"/>
      <c r="N270" s="375"/>
      <c r="O270" s="375"/>
      <c r="P270" s="375"/>
      <c r="Q270" s="375">
        <f>Table148[[#This Row],[Red target]]-Table148[[#This Row],[Red target]]*0.5</f>
        <v>0</v>
      </c>
      <c r="R270" s="375"/>
      <c r="S270" s="375"/>
      <c r="T270" s="375"/>
      <c r="U270" s="375"/>
      <c r="V270" s="375"/>
      <c r="W270" s="375"/>
      <c r="X270" s="375"/>
      <c r="Y270" s="375"/>
      <c r="Z270" s="375"/>
      <c r="AA270" s="375"/>
      <c r="AB270" s="375"/>
      <c r="AC270" s="396"/>
      <c r="AD270" s="360"/>
      <c r="AE270" s="360"/>
      <c r="AF270" s="360"/>
      <c r="AG270" s="360"/>
      <c r="AH270" s="360"/>
      <c r="AI270" s="360"/>
    </row>
    <row r="271" spans="1:35" hidden="1" x14ac:dyDescent="0.25">
      <c r="A271" s="390"/>
      <c r="B271" s="369"/>
      <c r="C271" s="369"/>
      <c r="D271" s="369" t="s">
        <v>702</v>
      </c>
      <c r="E271" s="379">
        <v>56.724170385886296</v>
      </c>
      <c r="F271" s="380">
        <v>60.2977937806208</v>
      </c>
      <c r="G271" s="381">
        <v>64.581944018395404</v>
      </c>
      <c r="H271" s="421"/>
      <c r="I271" s="375"/>
      <c r="J271" s="375"/>
      <c r="K271" s="375"/>
      <c r="L271" s="375">
        <f>Table148[[#This Row],[Ambitious target 2030]]+Table148[[#This Row],[Ambitious target 2030]]*0.5</f>
        <v>0</v>
      </c>
      <c r="M271" s="375"/>
      <c r="N271" s="375"/>
      <c r="O271" s="375"/>
      <c r="P271" s="375"/>
      <c r="Q271" s="375">
        <f>Table148[[#This Row],[Red target]]-Table148[[#This Row],[Red target]]*0.5</f>
        <v>0</v>
      </c>
      <c r="R271" s="375"/>
      <c r="S271" s="375"/>
      <c r="T271" s="375"/>
      <c r="U271" s="375"/>
      <c r="V271" s="375"/>
      <c r="W271" s="375"/>
      <c r="X271" s="375"/>
      <c r="Y271" s="375"/>
      <c r="Z271" s="375"/>
      <c r="AA271" s="375"/>
      <c r="AB271" s="375"/>
      <c r="AC271" s="396"/>
      <c r="AD271" s="360"/>
      <c r="AE271" s="360"/>
      <c r="AF271" s="360"/>
      <c r="AG271" s="360"/>
      <c r="AH271" s="360"/>
      <c r="AI271" s="360"/>
    </row>
    <row r="272" spans="1:35" hidden="1" x14ac:dyDescent="0.25">
      <c r="A272" s="390"/>
      <c r="B272" s="369"/>
      <c r="C272" s="369"/>
      <c r="D272" s="369" t="s">
        <v>703</v>
      </c>
      <c r="E272" s="379">
        <v>57.927516851506205</v>
      </c>
      <c r="F272" s="380">
        <v>59.957725851303202</v>
      </c>
      <c r="G272" s="381">
        <v>62.8868364845599</v>
      </c>
      <c r="H272" s="421"/>
      <c r="I272" s="375"/>
      <c r="J272" s="375"/>
      <c r="K272" s="375"/>
      <c r="L272" s="375">
        <f>Table148[[#This Row],[Ambitious target 2030]]+Table148[[#This Row],[Ambitious target 2030]]*0.5</f>
        <v>0</v>
      </c>
      <c r="M272" s="375"/>
      <c r="N272" s="375"/>
      <c r="O272" s="375"/>
      <c r="P272" s="375"/>
      <c r="Q272" s="375">
        <f>Table148[[#This Row],[Red target]]-Table148[[#This Row],[Red target]]*0.5</f>
        <v>0</v>
      </c>
      <c r="R272" s="375"/>
      <c r="S272" s="375"/>
      <c r="T272" s="375"/>
      <c r="U272" s="375"/>
      <c r="V272" s="375"/>
      <c r="W272" s="375"/>
      <c r="X272" s="375"/>
      <c r="Y272" s="375"/>
      <c r="Z272" s="375"/>
      <c r="AA272" s="375"/>
      <c r="AB272" s="375"/>
      <c r="AC272" s="396"/>
      <c r="AD272" s="360"/>
      <c r="AE272" s="360"/>
      <c r="AF272" s="360"/>
      <c r="AG272" s="360"/>
      <c r="AH272" s="360"/>
      <c r="AI272" s="360"/>
    </row>
    <row r="273" spans="1:35" hidden="1" x14ac:dyDescent="0.25">
      <c r="A273" s="390"/>
      <c r="B273" s="369"/>
      <c r="C273" s="369"/>
      <c r="D273" s="369" t="s">
        <v>683</v>
      </c>
      <c r="E273" s="382">
        <v>0.29596785164512701</v>
      </c>
      <c r="F273" s="383">
        <v>0.30905535477005602</v>
      </c>
      <c r="G273" s="384">
        <v>0.31454416567076299</v>
      </c>
      <c r="H273" s="421"/>
      <c r="I273" s="375"/>
      <c r="J273" s="375"/>
      <c r="K273" s="375"/>
      <c r="L273" s="375">
        <f>Table148[[#This Row],[Ambitious target 2030]]+Table148[[#This Row],[Ambitious target 2030]]*0.5</f>
        <v>0</v>
      </c>
      <c r="M273" s="375"/>
      <c r="N273" s="375"/>
      <c r="O273" s="375"/>
      <c r="P273" s="375"/>
      <c r="Q273" s="375">
        <f>Table148[[#This Row],[Red target]]-Table148[[#This Row],[Red target]]*0.5</f>
        <v>0</v>
      </c>
      <c r="R273" s="375"/>
      <c r="S273" s="375"/>
      <c r="T273" s="375"/>
      <c r="U273" s="375"/>
      <c r="V273" s="375"/>
      <c r="W273" s="375"/>
      <c r="X273" s="375"/>
      <c r="Y273" s="375"/>
      <c r="Z273" s="375"/>
      <c r="AA273" s="375"/>
      <c r="AB273" s="375"/>
      <c r="AC273" s="396"/>
      <c r="AD273" s="360"/>
      <c r="AE273" s="360"/>
      <c r="AF273" s="360"/>
      <c r="AG273" s="360"/>
      <c r="AH273" s="360"/>
      <c r="AI273" s="360"/>
    </row>
    <row r="274" spans="1:35" hidden="1" x14ac:dyDescent="0.25">
      <c r="A274" s="390"/>
      <c r="B274" s="369"/>
      <c r="C274" s="369"/>
      <c r="D274" s="369" t="s">
        <v>676</v>
      </c>
      <c r="E274" s="382">
        <v>0.36213113227433397</v>
      </c>
      <c r="F274" s="383">
        <v>0.37586948967352202</v>
      </c>
      <c r="G274" s="384">
        <v>0.41398030496208899</v>
      </c>
      <c r="H274" s="421"/>
      <c r="I274" s="375"/>
      <c r="J274" s="375"/>
      <c r="K274" s="375"/>
      <c r="L274" s="375">
        <f>Table148[[#This Row],[Ambitious target 2030]]+Table148[[#This Row],[Ambitious target 2030]]*0.5</f>
        <v>0</v>
      </c>
      <c r="M274" s="375"/>
      <c r="N274" s="375"/>
      <c r="O274" s="375"/>
      <c r="P274" s="375"/>
      <c r="Q274" s="375">
        <f>Table148[[#This Row],[Red target]]-Table148[[#This Row],[Red target]]*0.5</f>
        <v>0</v>
      </c>
      <c r="R274" s="375"/>
      <c r="S274" s="375"/>
      <c r="T274" s="375"/>
      <c r="U274" s="375"/>
      <c r="V274" s="375"/>
      <c r="W274" s="375"/>
      <c r="X274" s="375"/>
      <c r="Y274" s="375"/>
      <c r="Z274" s="375"/>
      <c r="AA274" s="375"/>
      <c r="AB274" s="375"/>
      <c r="AC274" s="396"/>
      <c r="AD274" s="360"/>
      <c r="AE274" s="360"/>
      <c r="AF274" s="360"/>
      <c r="AG274" s="360"/>
      <c r="AH274" s="360"/>
      <c r="AI274" s="360"/>
    </row>
    <row r="275" spans="1:35" hidden="1" x14ac:dyDescent="0.25">
      <c r="A275" s="390"/>
      <c r="B275" s="369"/>
      <c r="C275" s="369"/>
      <c r="D275" s="369" t="s">
        <v>704</v>
      </c>
      <c r="E275" s="382">
        <v>0.54722811015036299</v>
      </c>
      <c r="F275" s="383">
        <v>0.55630213850850807</v>
      </c>
      <c r="G275" s="384">
        <v>0.52089660271913496</v>
      </c>
      <c r="H275" s="421"/>
      <c r="I275" s="375"/>
      <c r="J275" s="375"/>
      <c r="K275" s="375"/>
      <c r="L275" s="375">
        <f>Table148[[#This Row],[Ambitious target 2030]]+Table148[[#This Row],[Ambitious target 2030]]*0.5</f>
        <v>0</v>
      </c>
      <c r="M275" s="375"/>
      <c r="N275" s="375"/>
      <c r="O275" s="375"/>
      <c r="P275" s="375"/>
      <c r="Q275" s="375">
        <f>Table148[[#This Row],[Red target]]-Table148[[#This Row],[Red target]]*0.5</f>
        <v>0</v>
      </c>
      <c r="R275" s="375"/>
      <c r="S275" s="375"/>
      <c r="T275" s="375"/>
      <c r="U275" s="375"/>
      <c r="V275" s="375"/>
      <c r="W275" s="375"/>
      <c r="X275" s="375"/>
      <c r="Y275" s="375"/>
      <c r="Z275" s="375"/>
      <c r="AA275" s="375"/>
      <c r="AB275" s="375"/>
      <c r="AC275" s="396"/>
      <c r="AD275" s="360"/>
      <c r="AE275" s="360"/>
      <c r="AF275" s="360"/>
      <c r="AG275" s="360"/>
      <c r="AH275" s="360"/>
      <c r="AI275" s="360"/>
    </row>
    <row r="276" spans="1:35" hidden="1" x14ac:dyDescent="0.25">
      <c r="A276" s="390"/>
      <c r="B276" s="369"/>
      <c r="C276" s="369"/>
      <c r="D276" s="369" t="s">
        <v>705</v>
      </c>
      <c r="E276" s="382">
        <v>0.50141571285783193</v>
      </c>
      <c r="F276" s="383">
        <v>0.49938070781976002</v>
      </c>
      <c r="G276" s="384">
        <v>0.53399118425893599</v>
      </c>
      <c r="H276" s="421"/>
      <c r="I276" s="375"/>
      <c r="J276" s="375"/>
      <c r="K276" s="375"/>
      <c r="L276" s="375">
        <f>Table148[[#This Row],[Ambitious target 2030]]+Table148[[#This Row],[Ambitious target 2030]]*0.5</f>
        <v>0</v>
      </c>
      <c r="M276" s="375"/>
      <c r="N276" s="375"/>
      <c r="O276" s="375"/>
      <c r="P276" s="375"/>
      <c r="Q276" s="375">
        <f>Table148[[#This Row],[Red target]]-Table148[[#This Row],[Red target]]*0.5</f>
        <v>0</v>
      </c>
      <c r="R276" s="375"/>
      <c r="S276" s="375"/>
      <c r="T276" s="375"/>
      <c r="U276" s="375"/>
      <c r="V276" s="375"/>
      <c r="W276" s="375"/>
      <c r="X276" s="375"/>
      <c r="Y276" s="375"/>
      <c r="Z276" s="375"/>
      <c r="AA276" s="375"/>
      <c r="AB276" s="375"/>
      <c r="AC276" s="396"/>
      <c r="AD276" s="360"/>
      <c r="AE276" s="360"/>
      <c r="AF276" s="360"/>
      <c r="AG276" s="360"/>
      <c r="AH276" s="360"/>
      <c r="AI276" s="360"/>
    </row>
    <row r="277" spans="1:35" hidden="1" x14ac:dyDescent="0.25">
      <c r="A277" s="390"/>
      <c r="B277" s="369"/>
      <c r="C277" s="369"/>
      <c r="D277" s="369" t="s">
        <v>706</v>
      </c>
      <c r="E277" s="382">
        <v>0.47131884040957195</v>
      </c>
      <c r="F277" s="383">
        <v>0.46707423746489002</v>
      </c>
      <c r="G277" s="384">
        <v>0.56177718239042496</v>
      </c>
      <c r="H277" s="421"/>
      <c r="I277" s="375"/>
      <c r="J277" s="375"/>
      <c r="K277" s="375"/>
      <c r="L277" s="375">
        <f>Table148[[#This Row],[Ambitious target 2030]]+Table148[[#This Row],[Ambitious target 2030]]*0.5</f>
        <v>0</v>
      </c>
      <c r="M277" s="375"/>
      <c r="N277" s="375"/>
      <c r="O277" s="375"/>
      <c r="P277" s="375"/>
      <c r="Q277" s="375">
        <f>Table148[[#This Row],[Red target]]-Table148[[#This Row],[Red target]]*0.5</f>
        <v>0</v>
      </c>
      <c r="R277" s="375"/>
      <c r="S277" s="375"/>
      <c r="T277" s="375"/>
      <c r="U277" s="375"/>
      <c r="V277" s="375"/>
      <c r="W277" s="375"/>
      <c r="X277" s="375"/>
      <c r="Y277" s="375"/>
      <c r="Z277" s="375"/>
      <c r="AA277" s="375"/>
      <c r="AB277" s="375"/>
      <c r="AC277" s="396"/>
      <c r="AD277" s="360"/>
      <c r="AE277" s="360"/>
      <c r="AF277" s="360"/>
      <c r="AG277" s="360"/>
      <c r="AH277" s="360"/>
      <c r="AI277" s="360"/>
    </row>
    <row r="278" spans="1:35" s="386" customFormat="1" hidden="1" x14ac:dyDescent="0.25">
      <c r="A278" s="409"/>
      <c r="B278" s="406"/>
      <c r="C278" s="407"/>
      <c r="D278" s="406"/>
      <c r="E278" s="407">
        <v>2012</v>
      </c>
      <c r="F278" s="407">
        <v>2013</v>
      </c>
      <c r="G278" s="407">
        <v>2014</v>
      </c>
      <c r="H278" s="407"/>
      <c r="I278" s="407"/>
      <c r="J278" s="407"/>
      <c r="K278" s="407"/>
      <c r="L278" s="407">
        <f>Table148[[#This Row],[Ambitious target 2030]]+Table148[[#This Row],[Ambitious target 2030]]*0.5</f>
        <v>0</v>
      </c>
      <c r="M278" s="407"/>
      <c r="N278" s="407"/>
      <c r="O278" s="407"/>
      <c r="P278" s="407"/>
      <c r="Q278" s="407">
        <f>Table148[[#This Row],[Red target]]-Table148[[#This Row],[Red target]]*0.5</f>
        <v>0</v>
      </c>
      <c r="R278" s="407"/>
      <c r="S278" s="407"/>
      <c r="T278" s="407"/>
      <c r="U278" s="407"/>
      <c r="V278" s="407"/>
      <c r="W278" s="407"/>
      <c r="X278" s="407"/>
      <c r="Y278" s="407"/>
      <c r="Z278" s="407"/>
      <c r="AA278" s="407"/>
      <c r="AB278" s="407"/>
      <c r="AC278" s="413"/>
    </row>
    <row r="279" spans="1:35" x14ac:dyDescent="0.25">
      <c r="A279" s="418" t="s">
        <v>760</v>
      </c>
      <c r="B279" s="437" t="s">
        <v>758</v>
      </c>
      <c r="C279" s="437" t="s">
        <v>759</v>
      </c>
      <c r="D279" s="436" t="s">
        <v>904</v>
      </c>
      <c r="E279" s="420">
        <v>0.507411642337258</v>
      </c>
      <c r="F279" s="420">
        <v>0.49935966335005399</v>
      </c>
      <c r="G279" s="420">
        <v>0.48960813019935201</v>
      </c>
      <c r="H279" s="421">
        <v>2014</v>
      </c>
      <c r="I279" s="421">
        <v>0.48960813019935201</v>
      </c>
      <c r="J279" s="421">
        <v>2015</v>
      </c>
      <c r="K279" s="411">
        <v>0.53940900000000003</v>
      </c>
      <c r="L279" s="411">
        <f>Table148[[#This Row],[Ambitious target 2030]]-Table148[[#This Row],[Ambitious target 2030]]*0.5</f>
        <v>0.122402032549838</v>
      </c>
      <c r="M279" s="421">
        <f>Table148[[#This Row],[Data reference value]]+Table148[[#This Row],[Data reference value]]*Table148[[#This Row],[Ambitious target improvement rate 2030]]</f>
        <v>0.244804065099676</v>
      </c>
      <c r="N279" s="421">
        <v>-0.5</v>
      </c>
      <c r="O279" s="421">
        <f>(Table148[[#This Row],[Ambitious target 2030]]-Table148[[#This Row],[Model reference value]])*0.5+Table148[[#This Row],[Model reference value]]</f>
        <v>0.39210653254983802</v>
      </c>
      <c r="P279" s="421">
        <f>(Table148[[#This Row],[Ambitious target 2030]]-Table148[[#This Row],[Model reference value]])*0.25+Table148[[#This Row],[Model reference value]]</f>
        <v>0.46575776627491905</v>
      </c>
      <c r="Q279" s="421">
        <f>Table148[[#This Row],[Red target]]+Table148[[#This Row],[Red target]]*0.5</f>
        <v>0.80911350000000004</v>
      </c>
      <c r="R279" s="421">
        <f>Table148[[#This Row],[Data reference value]]+Table148[[#This Row],[Data reference value]]*Table148[[#This Row],[Ambitious target improvement rate 2050]]</f>
        <v>9.7921626039870369E-2</v>
      </c>
      <c r="S279" s="421">
        <v>-0.8</v>
      </c>
      <c r="T279" s="421">
        <f>(Table148[[#This Row],[Ambitious target 2050]]-Table148[[#This Row],[Model reference value]])*0.5+Table148[[#This Row],[Model reference value]]</f>
        <v>0.31866531301993517</v>
      </c>
      <c r="U279" s="421">
        <f>(Table148[[#This Row],[Ambitious target 2050]]-Table148[[#This Row],[Model reference value]])*0.25+Table148[[#This Row],[Model reference value]]</f>
        <v>0.4290371565099676</v>
      </c>
      <c r="V279" s="421">
        <f>Table148[[#This Row],[Data reference value]]+Table148[[#This Row],[Data reference value]]*Table148[[#This Row],[Ambitious target improvement rate 2100]]</f>
        <v>0</v>
      </c>
      <c r="W279" s="421">
        <v>-1</v>
      </c>
      <c r="X279" s="421">
        <f>(Table148[[#This Row],[Ambitious target 2100]]-Table148[[#This Row],[Model reference value]])*0.5+Table148[[#This Row],[Model reference value]]</f>
        <v>0.26970450000000001</v>
      </c>
      <c r="Y279" s="421">
        <f>(Table148[[#This Row],[Ambitious target 2100]]-Table148[[#This Row],[Model reference value]])*0.25+Table148[[#This Row],[Model reference value]]</f>
        <v>0.40455675000000002</v>
      </c>
      <c r="Z279" s="421">
        <f>Table148[[#This Row],[Model reference value]]</f>
        <v>0.53940900000000003</v>
      </c>
      <c r="AA279" s="421" t="s">
        <v>1140</v>
      </c>
      <c r="AB279" s="421" t="s">
        <v>1040</v>
      </c>
      <c r="AC279" s="419" t="s">
        <v>762</v>
      </c>
      <c r="AD279" s="371" t="s">
        <v>1094</v>
      </c>
      <c r="AE279" s="360"/>
      <c r="AF279" s="360"/>
      <c r="AG279" s="360"/>
      <c r="AH279" s="360"/>
      <c r="AI279" s="360"/>
    </row>
    <row r="280" spans="1:35" hidden="1" x14ac:dyDescent="0.25">
      <c r="A280" s="390"/>
      <c r="B280" s="369"/>
      <c r="C280" s="369"/>
      <c r="D280" s="369"/>
      <c r="E280" s="379"/>
      <c r="F280" s="380"/>
      <c r="G280" s="381"/>
      <c r="H280" s="421"/>
      <c r="I280" s="375"/>
      <c r="J280" s="375"/>
      <c r="K280" s="375"/>
      <c r="L280" s="375">
        <f>Table148[[#This Row],[Ambitious target 2030]]+Table148[[#This Row],[Ambitious target 2030]]*0.5</f>
        <v>0</v>
      </c>
      <c r="M280" s="375"/>
      <c r="N280" s="375"/>
      <c r="O280" s="375"/>
      <c r="P280" s="375"/>
      <c r="Q280" s="375">
        <f>Table148[[#This Row],[Red target]]-Table148[[#This Row],[Red target]]*0.5</f>
        <v>0</v>
      </c>
      <c r="R280" s="375"/>
      <c r="S280" s="375"/>
      <c r="T280" s="375"/>
      <c r="U280" s="375"/>
      <c r="V280" s="375"/>
      <c r="W280" s="375"/>
      <c r="X280" s="375"/>
      <c r="Y280" s="375"/>
      <c r="Z280" s="375"/>
      <c r="AA280" s="375"/>
      <c r="AB280" s="375"/>
      <c r="AC280" s="396"/>
      <c r="AD280" s="360"/>
      <c r="AE280" s="360"/>
      <c r="AF280" s="360"/>
      <c r="AG280" s="360"/>
      <c r="AH280" s="360"/>
      <c r="AI280" s="360"/>
    </row>
    <row r="281" spans="1:35" hidden="1" x14ac:dyDescent="0.25">
      <c r="A281" s="390"/>
      <c r="B281" s="369"/>
      <c r="C281" s="369"/>
      <c r="D281" s="369"/>
      <c r="E281" s="379"/>
      <c r="F281" s="380"/>
      <c r="G281" s="381"/>
      <c r="H281" s="421"/>
      <c r="I281" s="375"/>
      <c r="J281" s="375"/>
      <c r="K281" s="375"/>
      <c r="L281" s="375">
        <f>Table148[[#This Row],[Ambitious target 2030]]+Table148[[#This Row],[Ambitious target 2030]]*0.5</f>
        <v>0</v>
      </c>
      <c r="M281" s="375"/>
      <c r="N281" s="375"/>
      <c r="O281" s="375"/>
      <c r="P281" s="375"/>
      <c r="Q281" s="375">
        <f>Table148[[#This Row],[Red target]]-Table148[[#This Row],[Red target]]*0.5</f>
        <v>0</v>
      </c>
      <c r="R281" s="375"/>
      <c r="S281" s="375"/>
      <c r="T281" s="375"/>
      <c r="U281" s="375"/>
      <c r="V281" s="375"/>
      <c r="W281" s="375"/>
      <c r="X281" s="375"/>
      <c r="Y281" s="375"/>
      <c r="Z281" s="375"/>
      <c r="AA281" s="375"/>
      <c r="AB281" s="375"/>
      <c r="AC281" s="396"/>
      <c r="AD281" s="360"/>
      <c r="AE281" s="360"/>
      <c r="AF281" s="360"/>
      <c r="AG281" s="360"/>
      <c r="AH281" s="360"/>
      <c r="AI281" s="360"/>
    </row>
    <row r="282" spans="1:35" hidden="1" x14ac:dyDescent="0.25">
      <c r="A282" s="390"/>
      <c r="B282" s="369"/>
      <c r="C282" s="369"/>
      <c r="D282" s="369"/>
      <c r="E282" s="379"/>
      <c r="F282" s="380"/>
      <c r="G282" s="381"/>
      <c r="H282" s="421"/>
      <c r="I282" s="375"/>
      <c r="J282" s="375"/>
      <c r="K282" s="375"/>
      <c r="L282" s="375">
        <f>Table148[[#This Row],[Ambitious target 2030]]+Table148[[#This Row],[Ambitious target 2030]]*0.5</f>
        <v>0</v>
      </c>
      <c r="M282" s="375"/>
      <c r="N282" s="375"/>
      <c r="O282" s="375"/>
      <c r="P282" s="375"/>
      <c r="Q282" s="375">
        <f>Table148[[#This Row],[Red target]]-Table148[[#This Row],[Red target]]*0.5</f>
        <v>0</v>
      </c>
      <c r="R282" s="375"/>
      <c r="S282" s="375"/>
      <c r="T282" s="375"/>
      <c r="U282" s="375"/>
      <c r="V282" s="375"/>
      <c r="W282" s="375"/>
      <c r="X282" s="375"/>
      <c r="Y282" s="375"/>
      <c r="Z282" s="375"/>
      <c r="AA282" s="375"/>
      <c r="AB282" s="375"/>
      <c r="AC282" s="396"/>
      <c r="AD282" s="360"/>
      <c r="AE282" s="360"/>
      <c r="AF282" s="360"/>
      <c r="AG282" s="360"/>
      <c r="AH282" s="360"/>
      <c r="AI282" s="360"/>
    </row>
    <row r="283" spans="1:35" hidden="1" x14ac:dyDescent="0.25">
      <c r="A283" s="390"/>
      <c r="B283" s="369"/>
      <c r="C283" s="369"/>
      <c r="D283" s="369"/>
      <c r="E283" s="379"/>
      <c r="F283" s="380"/>
      <c r="G283" s="381"/>
      <c r="H283" s="421"/>
      <c r="I283" s="375"/>
      <c r="J283" s="375"/>
      <c r="K283" s="375"/>
      <c r="L283" s="375">
        <f>Table148[[#This Row],[Ambitious target 2030]]+Table148[[#This Row],[Ambitious target 2030]]*0.5</f>
        <v>0</v>
      </c>
      <c r="M283" s="375"/>
      <c r="N283" s="375"/>
      <c r="O283" s="375"/>
      <c r="P283" s="375"/>
      <c r="Q283" s="375">
        <f>Table148[[#This Row],[Red target]]-Table148[[#This Row],[Red target]]*0.5</f>
        <v>0</v>
      </c>
      <c r="R283" s="375"/>
      <c r="S283" s="375"/>
      <c r="T283" s="375"/>
      <c r="U283" s="375"/>
      <c r="V283" s="375"/>
      <c r="W283" s="375"/>
      <c r="X283" s="375"/>
      <c r="Y283" s="375"/>
      <c r="Z283" s="375"/>
      <c r="AA283" s="375"/>
      <c r="AB283" s="375"/>
      <c r="AC283" s="396"/>
      <c r="AD283" s="360"/>
      <c r="AE283" s="360"/>
      <c r="AF283" s="360"/>
      <c r="AG283" s="360"/>
      <c r="AH283" s="360"/>
      <c r="AI283" s="360"/>
    </row>
    <row r="284" spans="1:35" hidden="1" x14ac:dyDescent="0.25">
      <c r="A284" s="390"/>
      <c r="B284" s="369"/>
      <c r="C284" s="369"/>
      <c r="D284" s="369"/>
      <c r="E284" s="379"/>
      <c r="F284" s="380"/>
      <c r="G284" s="381"/>
      <c r="H284" s="421"/>
      <c r="I284" s="375"/>
      <c r="J284" s="375"/>
      <c r="K284" s="375"/>
      <c r="L284" s="375">
        <f>Table148[[#This Row],[Ambitious target 2030]]+Table148[[#This Row],[Ambitious target 2030]]*0.5</f>
        <v>0</v>
      </c>
      <c r="M284" s="375"/>
      <c r="N284" s="375"/>
      <c r="O284" s="375"/>
      <c r="P284" s="375"/>
      <c r="Q284" s="375">
        <f>Table148[[#This Row],[Red target]]-Table148[[#This Row],[Red target]]*0.5</f>
        <v>0</v>
      </c>
      <c r="R284" s="375"/>
      <c r="S284" s="375"/>
      <c r="T284" s="375"/>
      <c r="U284" s="375"/>
      <c r="V284" s="375"/>
      <c r="W284" s="375"/>
      <c r="X284" s="375"/>
      <c r="Y284" s="375"/>
      <c r="Z284" s="375"/>
      <c r="AA284" s="375"/>
      <c r="AB284" s="375"/>
      <c r="AC284" s="396"/>
      <c r="AD284" s="360"/>
      <c r="AE284" s="360"/>
      <c r="AF284" s="360"/>
      <c r="AG284" s="360"/>
      <c r="AH284" s="360"/>
      <c r="AI284" s="360"/>
    </row>
    <row r="285" spans="1:35" hidden="1" x14ac:dyDescent="0.25">
      <c r="A285" s="390"/>
      <c r="B285" s="369"/>
      <c r="C285" s="369"/>
      <c r="D285" s="369"/>
      <c r="E285" s="382"/>
      <c r="F285" s="383"/>
      <c r="G285" s="384"/>
      <c r="H285" s="421"/>
      <c r="I285" s="375"/>
      <c r="J285" s="375"/>
      <c r="K285" s="375"/>
      <c r="L285" s="375">
        <f>Table148[[#This Row],[Ambitious target 2030]]+Table148[[#This Row],[Ambitious target 2030]]*0.5</f>
        <v>0</v>
      </c>
      <c r="M285" s="375"/>
      <c r="N285" s="375"/>
      <c r="O285" s="375"/>
      <c r="P285" s="375"/>
      <c r="Q285" s="375">
        <f>Table148[[#This Row],[Red target]]-Table148[[#This Row],[Red target]]*0.5</f>
        <v>0</v>
      </c>
      <c r="R285" s="375"/>
      <c r="S285" s="375"/>
      <c r="T285" s="375"/>
      <c r="U285" s="375"/>
      <c r="V285" s="375"/>
      <c r="W285" s="375"/>
      <c r="X285" s="375"/>
      <c r="Y285" s="375"/>
      <c r="Z285" s="375"/>
      <c r="AA285" s="375"/>
      <c r="AB285" s="375"/>
      <c r="AC285" s="396"/>
      <c r="AD285" s="360"/>
      <c r="AE285" s="360"/>
      <c r="AF285" s="360"/>
      <c r="AG285" s="360"/>
      <c r="AH285" s="360"/>
      <c r="AI285" s="360"/>
    </row>
    <row r="286" spans="1:35" hidden="1" x14ac:dyDescent="0.25">
      <c r="A286" s="390"/>
      <c r="B286" s="369"/>
      <c r="C286" s="369"/>
      <c r="D286" s="369"/>
      <c r="E286" s="382"/>
      <c r="F286" s="383"/>
      <c r="G286" s="384"/>
      <c r="H286" s="421"/>
      <c r="I286" s="375"/>
      <c r="J286" s="375"/>
      <c r="K286" s="375"/>
      <c r="L286" s="375">
        <f>Table148[[#This Row],[Ambitious target 2030]]+Table148[[#This Row],[Ambitious target 2030]]*0.5</f>
        <v>0</v>
      </c>
      <c r="M286" s="375"/>
      <c r="N286" s="375"/>
      <c r="O286" s="375"/>
      <c r="P286" s="375"/>
      <c r="Q286" s="375">
        <f>Table148[[#This Row],[Red target]]-Table148[[#This Row],[Red target]]*0.5</f>
        <v>0</v>
      </c>
      <c r="R286" s="375"/>
      <c r="S286" s="375"/>
      <c r="T286" s="375"/>
      <c r="U286" s="375"/>
      <c r="V286" s="375"/>
      <c r="W286" s="375"/>
      <c r="X286" s="375"/>
      <c r="Y286" s="375"/>
      <c r="Z286" s="375"/>
      <c r="AA286" s="375"/>
      <c r="AB286" s="375"/>
      <c r="AC286" s="396"/>
      <c r="AD286" s="360"/>
      <c r="AE286" s="360"/>
      <c r="AF286" s="360"/>
      <c r="AG286" s="360"/>
      <c r="AH286" s="360"/>
      <c r="AI286" s="360"/>
    </row>
    <row r="287" spans="1:35" hidden="1" x14ac:dyDescent="0.25">
      <c r="A287" s="390"/>
      <c r="B287" s="369"/>
      <c r="C287" s="369"/>
      <c r="D287" s="369"/>
      <c r="E287" s="382"/>
      <c r="F287" s="383"/>
      <c r="G287" s="384"/>
      <c r="H287" s="421"/>
      <c r="I287" s="375"/>
      <c r="J287" s="375"/>
      <c r="K287" s="375"/>
      <c r="L287" s="375">
        <f>Table148[[#This Row],[Ambitious target 2030]]+Table148[[#This Row],[Ambitious target 2030]]*0.5</f>
        <v>0</v>
      </c>
      <c r="M287" s="375"/>
      <c r="N287" s="375"/>
      <c r="O287" s="375"/>
      <c r="P287" s="375"/>
      <c r="Q287" s="375">
        <f>Table148[[#This Row],[Red target]]-Table148[[#This Row],[Red target]]*0.5</f>
        <v>0</v>
      </c>
      <c r="R287" s="375"/>
      <c r="S287" s="375"/>
      <c r="T287" s="375"/>
      <c r="U287" s="375"/>
      <c r="V287" s="375"/>
      <c r="W287" s="375"/>
      <c r="X287" s="375"/>
      <c r="Y287" s="375"/>
      <c r="Z287" s="375"/>
      <c r="AA287" s="375"/>
      <c r="AB287" s="375"/>
      <c r="AC287" s="396"/>
      <c r="AD287" s="360"/>
      <c r="AE287" s="360"/>
      <c r="AF287" s="360"/>
      <c r="AG287" s="360"/>
      <c r="AH287" s="360"/>
      <c r="AI287" s="360"/>
    </row>
    <row r="288" spans="1:35" hidden="1" x14ac:dyDescent="0.25">
      <c r="A288" s="390"/>
      <c r="B288" s="369"/>
      <c r="C288" s="369"/>
      <c r="D288" s="369"/>
      <c r="E288" s="382"/>
      <c r="F288" s="383"/>
      <c r="G288" s="384"/>
      <c r="H288" s="421"/>
      <c r="I288" s="375"/>
      <c r="J288" s="375"/>
      <c r="K288" s="375"/>
      <c r="L288" s="375">
        <f>Table148[[#This Row],[Ambitious target 2030]]+Table148[[#This Row],[Ambitious target 2030]]*0.5</f>
        <v>0</v>
      </c>
      <c r="M288" s="375"/>
      <c r="N288" s="375"/>
      <c r="O288" s="375"/>
      <c r="P288" s="375"/>
      <c r="Q288" s="375">
        <f>Table148[[#This Row],[Red target]]-Table148[[#This Row],[Red target]]*0.5</f>
        <v>0</v>
      </c>
      <c r="R288" s="375"/>
      <c r="S288" s="375"/>
      <c r="T288" s="375"/>
      <c r="U288" s="375"/>
      <c r="V288" s="375"/>
      <c r="W288" s="375"/>
      <c r="X288" s="375"/>
      <c r="Y288" s="375"/>
      <c r="Z288" s="375"/>
      <c r="AA288" s="375"/>
      <c r="AB288" s="375"/>
      <c r="AC288" s="396"/>
      <c r="AD288" s="360"/>
      <c r="AE288" s="360"/>
      <c r="AF288" s="360"/>
      <c r="AG288" s="360"/>
      <c r="AH288" s="360"/>
      <c r="AI288" s="360"/>
    </row>
    <row r="289" spans="1:35" hidden="1" x14ac:dyDescent="0.25">
      <c r="A289" s="390"/>
      <c r="B289" s="369"/>
      <c r="C289" s="369"/>
      <c r="D289" s="369"/>
      <c r="E289" s="382"/>
      <c r="F289" s="383"/>
      <c r="G289" s="384"/>
      <c r="H289" s="421"/>
      <c r="I289" s="375"/>
      <c r="J289" s="375"/>
      <c r="K289" s="375"/>
      <c r="L289" s="375">
        <f>Table148[[#This Row],[Ambitious target 2030]]+Table148[[#This Row],[Ambitious target 2030]]*0.5</f>
        <v>0</v>
      </c>
      <c r="M289" s="375"/>
      <c r="N289" s="375"/>
      <c r="O289" s="375"/>
      <c r="P289" s="375"/>
      <c r="Q289" s="375">
        <f>Table148[[#This Row],[Red target]]-Table148[[#This Row],[Red target]]*0.5</f>
        <v>0</v>
      </c>
      <c r="R289" s="375"/>
      <c r="S289" s="375"/>
      <c r="T289" s="375"/>
      <c r="U289" s="375"/>
      <c r="V289" s="375"/>
      <c r="W289" s="375"/>
      <c r="X289" s="375"/>
      <c r="Y289" s="375"/>
      <c r="Z289" s="375"/>
      <c r="AA289" s="375"/>
      <c r="AB289" s="375"/>
      <c r="AC289" s="396"/>
      <c r="AD289" s="360"/>
      <c r="AE289" s="360"/>
      <c r="AF289" s="360"/>
      <c r="AG289" s="360"/>
      <c r="AH289" s="360"/>
      <c r="AI289" s="360"/>
    </row>
    <row r="290" spans="1:35" s="386" customFormat="1" hidden="1" x14ac:dyDescent="0.25">
      <c r="A290" s="409"/>
      <c r="B290" s="406"/>
      <c r="C290" s="406"/>
      <c r="D290" s="406"/>
      <c r="E290" s="408">
        <v>2015</v>
      </c>
      <c r="F290" s="408">
        <v>2016</v>
      </c>
      <c r="G290" s="408">
        <v>2017</v>
      </c>
      <c r="H290" s="408"/>
      <c r="I290" s="408"/>
      <c r="J290" s="408"/>
      <c r="K290" s="408"/>
      <c r="L290" s="408">
        <f>Table148[[#This Row],[Ambitious target 2030]]+Table148[[#This Row],[Ambitious target 2030]]*0.5</f>
        <v>0</v>
      </c>
      <c r="M290" s="407"/>
      <c r="N290" s="407"/>
      <c r="O290" s="407"/>
      <c r="P290" s="407"/>
      <c r="Q290" s="407">
        <f>Table148[[#This Row],[Red target]]-Table148[[#This Row],[Red target]]*0.5</f>
        <v>0</v>
      </c>
      <c r="R290" s="407"/>
      <c r="S290" s="407"/>
      <c r="T290" s="407"/>
      <c r="U290" s="407"/>
      <c r="V290" s="407"/>
      <c r="W290" s="407"/>
      <c r="X290" s="407"/>
      <c r="Y290" s="407"/>
      <c r="Z290" s="407"/>
      <c r="AA290" s="407"/>
      <c r="AB290" s="407"/>
      <c r="AC290" s="413"/>
    </row>
    <row r="291" spans="1:35" x14ac:dyDescent="0.25">
      <c r="A291" s="418" t="s">
        <v>596</v>
      </c>
      <c r="B291" s="437" t="s">
        <v>821</v>
      </c>
      <c r="C291" s="437" t="s">
        <v>667</v>
      </c>
      <c r="D291" s="436" t="s">
        <v>799</v>
      </c>
      <c r="E291" s="420">
        <v>66.270574999999994</v>
      </c>
      <c r="F291" s="420">
        <v>58.728148148148144</v>
      </c>
      <c r="G291" s="420">
        <v>60.290185185185187</v>
      </c>
      <c r="H291" s="421">
        <v>2015</v>
      </c>
      <c r="I291" s="421">
        <v>66.270574999999994</v>
      </c>
      <c r="J291" s="421">
        <v>2015</v>
      </c>
      <c r="K291" s="411">
        <v>24.5441</v>
      </c>
      <c r="L291" s="411">
        <f>Table148[[#This Row],[Ambitious target 2030]]-Table148[[#This Row],[Ambitious target 2030]]*0.5</f>
        <v>16.567643749999998</v>
      </c>
      <c r="M291" s="427">
        <f>Table148[[#This Row],[Data reference value]]+Table148[[#This Row],[Data reference value]]*Table148[[#This Row],[Ambitious target improvement rate 2030]]</f>
        <v>33.135287499999997</v>
      </c>
      <c r="N291" s="427">
        <v>-0.5</v>
      </c>
      <c r="O291" s="421">
        <f>(Table148[[#This Row],[Ambitious target 2030]]-Table148[[#This Row],[Model reference value]])*0.5+Table148[[#This Row],[Model reference value]]</f>
        <v>28.839693749999999</v>
      </c>
      <c r="P291" s="421">
        <f>(Table148[[#This Row],[Ambitious target 2030]]-Table148[[#This Row],[Model reference value]])*0.25+Table148[[#This Row],[Model reference value]]</f>
        <v>26.691896874999998</v>
      </c>
      <c r="Q291" s="421">
        <f>Table148[[#This Row],[Red target]]+Table148[[#This Row],[Red target]]*0.5</f>
        <v>36.81615</v>
      </c>
      <c r="R291" s="421">
        <f>Table148[[#This Row],[Data reference value]]+Table148[[#This Row],[Data reference value]]*Table148[[#This Row],[Ambitious target improvement rate 2050]]</f>
        <v>19.881172499999998</v>
      </c>
      <c r="S291" s="421">
        <v>-0.7</v>
      </c>
      <c r="T291" s="421">
        <f>(Table148[[#This Row],[Ambitious target 2050]]-Table148[[#This Row],[Model reference value]])*0.5+Table148[[#This Row],[Model reference value]]</f>
        <v>22.212636249999999</v>
      </c>
      <c r="U291" s="421">
        <f>(Table148[[#This Row],[Ambitious target 2050]]-Table148[[#This Row],[Model reference value]])*0.25+Table148[[#This Row],[Model reference value]]</f>
        <v>23.378368125000001</v>
      </c>
      <c r="V291" s="421">
        <f>Table148[[#This Row],[Data reference value]]+Table148[[#This Row],[Data reference value]]*Table148[[#This Row],[Ambitious target improvement rate 2100]]</f>
        <v>6.6270574999999994</v>
      </c>
      <c r="W291" s="421">
        <v>-0.9</v>
      </c>
      <c r="X291" s="421">
        <f>(Table148[[#This Row],[Ambitious target 2100]]-Table148[[#This Row],[Model reference value]])*0.5+Table148[[#This Row],[Model reference value]]</f>
        <v>15.58557875</v>
      </c>
      <c r="Y291" s="421">
        <f>(Table148[[#This Row],[Ambitious target 2100]]-Table148[[#This Row],[Model reference value]])*0.25+Table148[[#This Row],[Model reference value]]</f>
        <v>20.064839374999998</v>
      </c>
      <c r="Z291" s="421">
        <f>Table148[[#This Row],[Model reference value]]</f>
        <v>24.5441</v>
      </c>
      <c r="AA291" s="421" t="s">
        <v>1140</v>
      </c>
      <c r="AB291" s="421" t="s">
        <v>1141</v>
      </c>
      <c r="AC291" s="419" t="s">
        <v>822</v>
      </c>
      <c r="AD291" s="360"/>
      <c r="AE291" s="360"/>
      <c r="AF291" s="360"/>
      <c r="AG291" s="360"/>
      <c r="AH291" s="360"/>
      <c r="AI291" s="360"/>
    </row>
    <row r="292" spans="1:35" hidden="1" x14ac:dyDescent="0.25">
      <c r="A292" s="390"/>
      <c r="B292" s="369"/>
      <c r="C292" s="369"/>
      <c r="D292" s="378" t="s">
        <v>771</v>
      </c>
      <c r="E292" s="379">
        <v>192.881</v>
      </c>
      <c r="F292" s="380">
        <v>206.16399999999999</v>
      </c>
      <c r="G292" s="381">
        <v>212.167</v>
      </c>
      <c r="H292" s="421"/>
      <c r="I292" s="375"/>
      <c r="J292" s="375"/>
      <c r="K292" s="375"/>
      <c r="L292" s="375">
        <f>Table148[[#This Row],[Ambitious target 2030]]+Table148[[#This Row],[Ambitious target 2030]]*0.5</f>
        <v>0</v>
      </c>
      <c r="M292" s="375"/>
      <c r="N292" s="375"/>
      <c r="O292" s="375"/>
      <c r="P292" s="375"/>
      <c r="Q292" s="375">
        <f>Table148[[#This Row],[Red target]]-Table148[[#This Row],[Red target]]*0.5</f>
        <v>0</v>
      </c>
      <c r="R292" s="375"/>
      <c r="S292" s="375"/>
      <c r="T292" s="375"/>
      <c r="U292" s="375"/>
      <c r="V292" s="375"/>
      <c r="W292" s="375"/>
      <c r="X292" s="375"/>
      <c r="Y292" s="375"/>
      <c r="Z292" s="375"/>
      <c r="AA292" s="375"/>
      <c r="AB292" s="375"/>
      <c r="AC292" s="396"/>
      <c r="AD292" s="360"/>
      <c r="AE292" s="360"/>
      <c r="AF292" s="360"/>
      <c r="AG292" s="360"/>
      <c r="AH292" s="360"/>
      <c r="AI292" s="360"/>
    </row>
    <row r="293" spans="1:35" hidden="1" x14ac:dyDescent="0.25">
      <c r="A293" s="390"/>
      <c r="B293" s="369"/>
      <c r="C293" s="369"/>
      <c r="D293" s="378" t="s">
        <v>680</v>
      </c>
      <c r="E293" s="379">
        <v>189</v>
      </c>
      <c r="F293" s="380">
        <v>194</v>
      </c>
      <c r="G293" s="381">
        <v>187</v>
      </c>
      <c r="H293" s="421"/>
      <c r="I293" s="375"/>
      <c r="J293" s="375"/>
      <c r="K293" s="375"/>
      <c r="L293" s="375">
        <f>Table148[[#This Row],[Ambitious target 2030]]+Table148[[#This Row],[Ambitious target 2030]]*0.5</f>
        <v>0</v>
      </c>
      <c r="M293" s="375"/>
      <c r="N293" s="375"/>
      <c r="O293" s="375"/>
      <c r="P293" s="375"/>
      <c r="Q293" s="375">
        <f>Table148[[#This Row],[Red target]]-Table148[[#This Row],[Red target]]*0.5</f>
        <v>0</v>
      </c>
      <c r="R293" s="375"/>
      <c r="S293" s="375"/>
      <c r="T293" s="375"/>
      <c r="U293" s="375"/>
      <c r="V293" s="375"/>
      <c r="W293" s="375"/>
      <c r="X293" s="375"/>
      <c r="Y293" s="375"/>
      <c r="Z293" s="375"/>
      <c r="AA293" s="375"/>
      <c r="AB293" s="375"/>
      <c r="AC293" s="396"/>
      <c r="AD293" s="360"/>
      <c r="AE293" s="360"/>
      <c r="AF293" s="360"/>
      <c r="AG293" s="360"/>
      <c r="AH293" s="360"/>
      <c r="AI293" s="360"/>
    </row>
    <row r="294" spans="1:35" hidden="1" x14ac:dyDescent="0.25">
      <c r="A294" s="390"/>
      <c r="B294" s="369"/>
      <c r="C294" s="369"/>
      <c r="D294" s="378" t="s">
        <v>715</v>
      </c>
      <c r="E294" s="379">
        <v>172.27</v>
      </c>
      <c r="F294" s="380">
        <v>179.29</v>
      </c>
      <c r="G294" s="381">
        <v>179.31800000000001</v>
      </c>
      <c r="H294" s="421"/>
      <c r="I294" s="375"/>
      <c r="J294" s="375"/>
      <c r="K294" s="375"/>
      <c r="L294" s="375">
        <f>Table148[[#This Row],[Ambitious target 2030]]+Table148[[#This Row],[Ambitious target 2030]]*0.5</f>
        <v>0</v>
      </c>
      <c r="M294" s="375"/>
      <c r="N294" s="375"/>
      <c r="O294" s="375"/>
      <c r="P294" s="375"/>
      <c r="Q294" s="375">
        <f>Table148[[#This Row],[Red target]]-Table148[[#This Row],[Red target]]*0.5</f>
        <v>0</v>
      </c>
      <c r="R294" s="375"/>
      <c r="S294" s="375"/>
      <c r="T294" s="375"/>
      <c r="U294" s="375"/>
      <c r="V294" s="375"/>
      <c r="W294" s="375"/>
      <c r="X294" s="375"/>
      <c r="Y294" s="375"/>
      <c r="Z294" s="375"/>
      <c r="AA294" s="375"/>
      <c r="AB294" s="375"/>
      <c r="AC294" s="396"/>
      <c r="AD294" s="360"/>
      <c r="AE294" s="360"/>
      <c r="AF294" s="360"/>
      <c r="AG294" s="360"/>
      <c r="AH294" s="360"/>
      <c r="AI294" s="360"/>
    </row>
    <row r="295" spans="1:35" hidden="1" x14ac:dyDescent="0.25">
      <c r="A295" s="390"/>
      <c r="B295" s="369"/>
      <c r="C295" s="369"/>
      <c r="D295" s="378" t="s">
        <v>824</v>
      </c>
      <c r="E295" s="379">
        <v>98</v>
      </c>
      <c r="F295" s="380">
        <v>91</v>
      </c>
      <c r="G295" s="381">
        <v>101</v>
      </c>
      <c r="H295" s="421"/>
      <c r="I295" s="375"/>
      <c r="J295" s="375"/>
      <c r="K295" s="375"/>
      <c r="L295" s="375">
        <f>Table148[[#This Row],[Ambitious target 2030]]+Table148[[#This Row],[Ambitious target 2030]]*0.5</f>
        <v>0</v>
      </c>
      <c r="M295" s="375"/>
      <c r="N295" s="375"/>
      <c r="O295" s="375"/>
      <c r="P295" s="375"/>
      <c r="Q295" s="375">
        <f>Table148[[#This Row],[Red target]]-Table148[[#This Row],[Red target]]*0.5</f>
        <v>0</v>
      </c>
      <c r="R295" s="375"/>
      <c r="S295" s="375"/>
      <c r="T295" s="375"/>
      <c r="U295" s="375"/>
      <c r="V295" s="375"/>
      <c r="W295" s="375"/>
      <c r="X295" s="375"/>
      <c r="Y295" s="375"/>
      <c r="Z295" s="375"/>
      <c r="AA295" s="375"/>
      <c r="AB295" s="375"/>
      <c r="AC295" s="396"/>
      <c r="AD295" s="360"/>
      <c r="AE295" s="360"/>
      <c r="AF295" s="360"/>
      <c r="AG295" s="360"/>
      <c r="AH295" s="360"/>
      <c r="AI295" s="360"/>
    </row>
    <row r="296" spans="1:35" hidden="1" x14ac:dyDescent="0.25">
      <c r="A296" s="390"/>
      <c r="B296" s="369"/>
      <c r="C296" s="369"/>
      <c r="D296" s="378" t="s">
        <v>825</v>
      </c>
      <c r="E296" s="379">
        <v>83</v>
      </c>
      <c r="F296" s="380">
        <v>87</v>
      </c>
      <c r="G296" s="381">
        <v>86</v>
      </c>
      <c r="H296" s="421"/>
      <c r="I296" s="375"/>
      <c r="J296" s="375"/>
      <c r="K296" s="375"/>
      <c r="L296" s="375">
        <f>Table148[[#This Row],[Ambitious target 2030]]+Table148[[#This Row],[Ambitious target 2030]]*0.5</f>
        <v>0</v>
      </c>
      <c r="M296" s="375"/>
      <c r="N296" s="375"/>
      <c r="O296" s="375"/>
      <c r="P296" s="375"/>
      <c r="Q296" s="375">
        <f>Table148[[#This Row],[Red target]]-Table148[[#This Row],[Red target]]*0.5</f>
        <v>0</v>
      </c>
      <c r="R296" s="375"/>
      <c r="S296" s="375"/>
      <c r="T296" s="375"/>
      <c r="U296" s="375"/>
      <c r="V296" s="375"/>
      <c r="W296" s="375"/>
      <c r="X296" s="375"/>
      <c r="Y296" s="375"/>
      <c r="Z296" s="375"/>
      <c r="AA296" s="375"/>
      <c r="AB296" s="375"/>
      <c r="AC296" s="396"/>
      <c r="AD296" s="360"/>
      <c r="AE296" s="360"/>
      <c r="AF296" s="360"/>
      <c r="AG296" s="360"/>
      <c r="AH296" s="360"/>
      <c r="AI296" s="360"/>
    </row>
    <row r="297" spans="1:35" hidden="1" x14ac:dyDescent="0.25">
      <c r="A297" s="390"/>
      <c r="B297" s="369"/>
      <c r="C297" s="369"/>
      <c r="D297" s="378" t="s">
        <v>826</v>
      </c>
      <c r="E297" s="382">
        <v>28</v>
      </c>
      <c r="F297" s="383">
        <v>25</v>
      </c>
      <c r="G297" s="384">
        <v>22</v>
      </c>
      <c r="H297" s="421"/>
      <c r="I297" s="375"/>
      <c r="J297" s="375"/>
      <c r="K297" s="375"/>
      <c r="L297" s="375">
        <f>Table148[[#This Row],[Ambitious target 2030]]+Table148[[#This Row],[Ambitious target 2030]]*0.5</f>
        <v>0</v>
      </c>
      <c r="M297" s="375"/>
      <c r="N297" s="375"/>
      <c r="O297" s="375"/>
      <c r="P297" s="375"/>
      <c r="Q297" s="375">
        <f>Table148[[#This Row],[Red target]]-Table148[[#This Row],[Red target]]*0.5</f>
        <v>0</v>
      </c>
      <c r="R297" s="375"/>
      <c r="S297" s="375"/>
      <c r="T297" s="375"/>
      <c r="U297" s="375"/>
      <c r="V297" s="375"/>
      <c r="W297" s="375"/>
      <c r="X297" s="375"/>
      <c r="Y297" s="375"/>
      <c r="Z297" s="375"/>
      <c r="AA297" s="375"/>
      <c r="AB297" s="375"/>
      <c r="AC297" s="396"/>
      <c r="AD297" s="360"/>
      <c r="AE297" s="360"/>
      <c r="AF297" s="360"/>
      <c r="AG297" s="360"/>
      <c r="AH297" s="360"/>
      <c r="AI297" s="360"/>
    </row>
    <row r="298" spans="1:35" hidden="1" x14ac:dyDescent="0.25">
      <c r="A298" s="390"/>
      <c r="B298" s="369"/>
      <c r="C298" s="369"/>
      <c r="D298" s="378" t="s">
        <v>813</v>
      </c>
      <c r="E298" s="382">
        <v>19.811</v>
      </c>
      <c r="F298" s="383">
        <v>18.646999999999998</v>
      </c>
      <c r="G298" s="384">
        <v>19.826000000000001</v>
      </c>
      <c r="H298" s="421"/>
      <c r="I298" s="375"/>
      <c r="J298" s="375"/>
      <c r="K298" s="375"/>
      <c r="L298" s="375">
        <f>Table148[[#This Row],[Ambitious target 2030]]+Table148[[#This Row],[Ambitious target 2030]]*0.5</f>
        <v>0</v>
      </c>
      <c r="M298" s="375"/>
      <c r="N298" s="375"/>
      <c r="O298" s="375"/>
      <c r="P298" s="375"/>
      <c r="Q298" s="375">
        <f>Table148[[#This Row],[Red target]]-Table148[[#This Row],[Red target]]*0.5</f>
        <v>0</v>
      </c>
      <c r="R298" s="375"/>
      <c r="S298" s="375"/>
      <c r="T298" s="375"/>
      <c r="U298" s="375"/>
      <c r="V298" s="375"/>
      <c r="W298" s="375"/>
      <c r="X298" s="375"/>
      <c r="Y298" s="375"/>
      <c r="Z298" s="375"/>
      <c r="AA298" s="375"/>
      <c r="AB298" s="375"/>
      <c r="AC298" s="396"/>
      <c r="AD298" s="360"/>
      <c r="AE298" s="360"/>
      <c r="AF298" s="360"/>
      <c r="AG298" s="360"/>
      <c r="AH298" s="360"/>
      <c r="AI298" s="360"/>
    </row>
    <row r="299" spans="1:35" hidden="1" x14ac:dyDescent="0.25">
      <c r="A299" s="390"/>
      <c r="B299" s="369"/>
      <c r="C299" s="369"/>
      <c r="D299" s="378" t="s">
        <v>772</v>
      </c>
      <c r="E299" s="382">
        <v>26.582000000000001</v>
      </c>
      <c r="F299" s="383">
        <v>21.818000000000001</v>
      </c>
      <c r="G299" s="384">
        <v>19.791</v>
      </c>
      <c r="H299" s="421"/>
      <c r="I299" s="375"/>
      <c r="J299" s="375"/>
      <c r="K299" s="375"/>
      <c r="L299" s="375">
        <f>Table148[[#This Row],[Ambitious target 2030]]+Table148[[#This Row],[Ambitious target 2030]]*0.5</f>
        <v>0</v>
      </c>
      <c r="M299" s="375"/>
      <c r="N299" s="375"/>
      <c r="O299" s="375"/>
      <c r="P299" s="375"/>
      <c r="Q299" s="375">
        <f>Table148[[#This Row],[Red target]]-Table148[[#This Row],[Red target]]*0.5</f>
        <v>0</v>
      </c>
      <c r="R299" s="375"/>
      <c r="S299" s="375"/>
      <c r="T299" s="375"/>
      <c r="U299" s="375"/>
      <c r="V299" s="375"/>
      <c r="W299" s="375"/>
      <c r="X299" s="375"/>
      <c r="Y299" s="375"/>
      <c r="Z299" s="375"/>
      <c r="AA299" s="375"/>
      <c r="AB299" s="375"/>
      <c r="AC299" s="396"/>
      <c r="AD299" s="360"/>
      <c r="AE299" s="360"/>
      <c r="AF299" s="360"/>
      <c r="AG299" s="360"/>
      <c r="AH299" s="360"/>
      <c r="AI299" s="360"/>
    </row>
    <row r="300" spans="1:35" hidden="1" x14ac:dyDescent="0.25">
      <c r="A300" s="390"/>
      <c r="B300" s="369"/>
      <c r="C300" s="369"/>
      <c r="D300" s="378" t="s">
        <v>689</v>
      </c>
      <c r="E300" s="382">
        <v>8.423</v>
      </c>
      <c r="F300" s="383">
        <v>7.2110000000000003</v>
      </c>
      <c r="G300" s="384">
        <v>7.6669999999999998</v>
      </c>
      <c r="H300" s="421"/>
      <c r="I300" s="375"/>
      <c r="J300" s="375"/>
      <c r="K300" s="375"/>
      <c r="L300" s="375">
        <f>Table148[[#This Row],[Ambitious target 2030]]+Table148[[#This Row],[Ambitious target 2030]]*0.5</f>
        <v>0</v>
      </c>
      <c r="M300" s="375"/>
      <c r="N300" s="375"/>
      <c r="O300" s="375"/>
      <c r="P300" s="375"/>
      <c r="Q300" s="375">
        <f>Table148[[#This Row],[Red target]]-Table148[[#This Row],[Red target]]*0.5</f>
        <v>0</v>
      </c>
      <c r="R300" s="375"/>
      <c r="S300" s="375"/>
      <c r="T300" s="375"/>
      <c r="U300" s="375"/>
      <c r="V300" s="375"/>
      <c r="W300" s="375"/>
      <c r="X300" s="375"/>
      <c r="Y300" s="375"/>
      <c r="Z300" s="375"/>
      <c r="AA300" s="375"/>
      <c r="AB300" s="375"/>
      <c r="AC300" s="396"/>
      <c r="AD300" s="360"/>
      <c r="AE300" s="360"/>
      <c r="AF300" s="360"/>
      <c r="AG300" s="360"/>
      <c r="AH300" s="360"/>
      <c r="AI300" s="360"/>
    </row>
    <row r="301" spans="1:35" hidden="1" x14ac:dyDescent="0.25">
      <c r="A301" s="390"/>
      <c r="B301" s="369"/>
      <c r="C301" s="369"/>
      <c r="D301" s="378" t="s">
        <v>827</v>
      </c>
      <c r="E301" s="382">
        <v>9</v>
      </c>
      <c r="F301" s="383">
        <v>-1</v>
      </c>
      <c r="G301" s="384">
        <v>-12</v>
      </c>
      <c r="H301" s="421"/>
      <c r="I301" s="375"/>
      <c r="J301" s="375"/>
      <c r="K301" s="375"/>
      <c r="L301" s="375">
        <f>Table148[[#This Row],[Ambitious target 2030]]+Table148[[#This Row],[Ambitious target 2030]]*0.5</f>
        <v>0</v>
      </c>
      <c r="M301" s="375"/>
      <c r="N301" s="375"/>
      <c r="O301" s="375"/>
      <c r="P301" s="375"/>
      <c r="Q301" s="375">
        <f>Table148[[#This Row],[Red target]]-Table148[[#This Row],[Red target]]*0.5</f>
        <v>0</v>
      </c>
      <c r="R301" s="375"/>
      <c r="S301" s="375"/>
      <c r="T301" s="375"/>
      <c r="U301" s="375"/>
      <c r="V301" s="375"/>
      <c r="W301" s="375"/>
      <c r="X301" s="375"/>
      <c r="Y301" s="375"/>
      <c r="Z301" s="375"/>
      <c r="AA301" s="375"/>
      <c r="AB301" s="375"/>
      <c r="AC301" s="396"/>
      <c r="AD301" s="360"/>
      <c r="AE301" s="360"/>
      <c r="AF301" s="360"/>
      <c r="AG301" s="360"/>
      <c r="AH301" s="360"/>
      <c r="AI301" s="360"/>
    </row>
    <row r="302" spans="1:35" s="386" customFormat="1" hidden="1" x14ac:dyDescent="0.25">
      <c r="A302" s="409"/>
      <c r="B302" s="406"/>
      <c r="C302" s="406"/>
      <c r="D302" s="406"/>
      <c r="E302" s="407"/>
      <c r="F302" s="407"/>
      <c r="G302" s="407">
        <v>2016</v>
      </c>
      <c r="H302" s="407"/>
      <c r="I302" s="407"/>
      <c r="J302" s="407"/>
      <c r="K302" s="407"/>
      <c r="L302" s="407">
        <f>Table148[[#This Row],[Ambitious target 2030]]+Table148[[#This Row],[Ambitious target 2030]]*0.5</f>
        <v>0</v>
      </c>
      <c r="M302" s="407"/>
      <c r="N302" s="407"/>
      <c r="O302" s="407"/>
      <c r="P302" s="407"/>
      <c r="Q302" s="407">
        <f>Table148[[#This Row],[Red target]]-Table148[[#This Row],[Red target]]*0.5</f>
        <v>0</v>
      </c>
      <c r="R302" s="407"/>
      <c r="S302" s="407"/>
      <c r="T302" s="407"/>
      <c r="U302" s="407"/>
      <c r="V302" s="407"/>
      <c r="W302" s="407"/>
      <c r="X302" s="407"/>
      <c r="Y302" s="407"/>
      <c r="Z302" s="407"/>
      <c r="AA302" s="407"/>
      <c r="AB302" s="407"/>
      <c r="AC302" s="413"/>
    </row>
    <row r="303" spans="1:35" x14ac:dyDescent="0.25">
      <c r="A303" s="418" t="s">
        <v>597</v>
      </c>
      <c r="B303" s="437" t="s">
        <v>820</v>
      </c>
      <c r="C303" s="437" t="s">
        <v>818</v>
      </c>
      <c r="D303" s="436" t="s">
        <v>1090</v>
      </c>
      <c r="E303" s="420"/>
      <c r="F303" s="420"/>
      <c r="G303" s="420">
        <v>9.0589999999999993</v>
      </c>
      <c r="H303" s="421">
        <v>2016</v>
      </c>
      <c r="I303" s="421">
        <v>9.0589999999999993</v>
      </c>
      <c r="J303" s="421">
        <v>2015</v>
      </c>
      <c r="K303" s="411">
        <v>9.0136800000000008</v>
      </c>
      <c r="L303" s="411">
        <f>Table148[[#This Row],[Ambitious target 2030]]-Table148[[#This Row],[Ambitious target 2030]]*0.5</f>
        <v>4</v>
      </c>
      <c r="M303" s="421">
        <v>8</v>
      </c>
      <c r="N303" s="421"/>
      <c r="O303" s="421">
        <f>(M303-K303)*0.5+K303</f>
        <v>8.5068400000000004</v>
      </c>
      <c r="P303" s="421">
        <f>(Table148[[#This Row],[Ambitious target 2030]]-Table148[[#This Row],[Model reference value]])*0.25+Table148[[#This Row],[Model reference value]]</f>
        <v>8.7602600000000006</v>
      </c>
      <c r="Q303" s="421">
        <f>Table148[[#This Row],[Red target]]+Table148[[#This Row],[Red target]]*0.5</f>
        <v>13.520520000000001</v>
      </c>
      <c r="R303" s="421">
        <f>Table148[[#This Row],[Ambitious target 2030]]*0.5</f>
        <v>4</v>
      </c>
      <c r="S303" s="421"/>
      <c r="T303" s="421">
        <f>(Table148[[#This Row],[Ambitious target 2050]]-Table148[[#This Row],[Model reference value]])*0.5+Table148[[#This Row],[Model reference value]]</f>
        <v>6.5068400000000004</v>
      </c>
      <c r="U303" s="421">
        <f>(Table148[[#This Row],[Ambitious target 2050]]-Table148[[#This Row],[Model reference value]])*0.25+Table148[[#This Row],[Model reference value]]</f>
        <v>7.7602600000000006</v>
      </c>
      <c r="V303" s="421">
        <f>Table148[[#This Row],[Ambitious target 2030]]*0.2</f>
        <v>1.6</v>
      </c>
      <c r="W303" s="421"/>
      <c r="X303" s="421">
        <f>(Table148[[#This Row],[Ambitious target 2100]]-Table148[[#This Row],[Model reference value]])*0.5+Table148[[#This Row],[Model reference value]]</f>
        <v>5.3068400000000002</v>
      </c>
      <c r="Y303" s="421">
        <f>(Table148[[#This Row],[Ambitious target 2100]]-Table148[[#This Row],[Model reference value]])*0.25+Table148[[#This Row],[Model reference value]]</f>
        <v>7.160260000000001</v>
      </c>
      <c r="Z303" s="421">
        <f>K303</f>
        <v>9.0136800000000008</v>
      </c>
      <c r="AA303" s="421" t="s">
        <v>985</v>
      </c>
      <c r="AB303" s="421" t="s">
        <v>1180</v>
      </c>
      <c r="AC303" s="419" t="s">
        <v>816</v>
      </c>
      <c r="AD303" s="360"/>
      <c r="AE303" s="360"/>
      <c r="AF303" s="360"/>
      <c r="AG303" s="360"/>
      <c r="AH303" s="360"/>
      <c r="AI303" s="360"/>
    </row>
    <row r="304" spans="1:35" hidden="1" x14ac:dyDescent="0.25">
      <c r="A304" s="390"/>
      <c r="B304" s="369"/>
      <c r="C304" s="369"/>
      <c r="D304" s="369" t="s">
        <v>811</v>
      </c>
      <c r="E304" s="379"/>
      <c r="F304" s="380"/>
      <c r="G304" s="381">
        <v>225</v>
      </c>
      <c r="H304" s="421"/>
      <c r="I304" s="375"/>
      <c r="J304" s="375"/>
      <c r="K304" s="375"/>
      <c r="L304" s="375">
        <f>Table148[[#This Row],[Ambitious target 2030]]+Table148[[#This Row],[Ambitious target 2030]]*0.5</f>
        <v>0</v>
      </c>
      <c r="M304" s="375"/>
      <c r="N304" s="375"/>
      <c r="O304" s="375"/>
      <c r="P304" s="375"/>
      <c r="Q304" s="375">
        <f>Table148[[#This Row],[Red target]]-Table148[[#This Row],[Red target]]*0.5</f>
        <v>0</v>
      </c>
      <c r="R304" s="375"/>
      <c r="S304" s="375"/>
      <c r="T304" s="375"/>
      <c r="U304" s="375"/>
      <c r="V304" s="375"/>
      <c r="W304" s="375"/>
      <c r="X304" s="375"/>
      <c r="Y304" s="375"/>
      <c r="Z304" s="375"/>
      <c r="AA304" s="375"/>
      <c r="AB304" s="375"/>
      <c r="AC304" s="396"/>
      <c r="AD304" s="360"/>
      <c r="AE304" s="360"/>
      <c r="AF304" s="360"/>
      <c r="AG304" s="360"/>
      <c r="AH304" s="360"/>
      <c r="AI304" s="360"/>
    </row>
    <row r="305" spans="1:35" hidden="1" x14ac:dyDescent="0.25">
      <c r="A305" s="390"/>
      <c r="B305" s="369"/>
      <c r="C305" s="369"/>
      <c r="D305" s="369" t="s">
        <v>699</v>
      </c>
      <c r="E305" s="379"/>
      <c r="F305" s="380"/>
      <c r="G305" s="381">
        <v>148</v>
      </c>
      <c r="H305" s="421"/>
      <c r="I305" s="375"/>
      <c r="J305" s="375"/>
      <c r="K305" s="375"/>
      <c r="L305" s="375">
        <f>Table148[[#This Row],[Ambitious target 2030]]+Table148[[#This Row],[Ambitious target 2030]]*0.5</f>
        <v>0</v>
      </c>
      <c r="M305" s="375"/>
      <c r="N305" s="375"/>
      <c r="O305" s="375"/>
      <c r="P305" s="375"/>
      <c r="Q305" s="375">
        <f>Table148[[#This Row],[Red target]]-Table148[[#This Row],[Red target]]*0.5</f>
        <v>0</v>
      </c>
      <c r="R305" s="375"/>
      <c r="S305" s="375"/>
      <c r="T305" s="375"/>
      <c r="U305" s="375"/>
      <c r="V305" s="375"/>
      <c r="W305" s="375"/>
      <c r="X305" s="375"/>
      <c r="Y305" s="375"/>
      <c r="Z305" s="375"/>
      <c r="AA305" s="375"/>
      <c r="AB305" s="375"/>
      <c r="AC305" s="403"/>
      <c r="AD305" s="360"/>
      <c r="AE305" s="360"/>
      <c r="AF305" s="360"/>
      <c r="AG305" s="360"/>
      <c r="AH305" s="360"/>
      <c r="AI305" s="360"/>
    </row>
    <row r="306" spans="1:35" hidden="1" x14ac:dyDescent="0.25">
      <c r="A306" s="390"/>
      <c r="B306" s="369"/>
      <c r="C306" s="369"/>
      <c r="D306" s="369" t="s">
        <v>812</v>
      </c>
      <c r="E306" s="379"/>
      <c r="F306" s="380"/>
      <c r="G306" s="381">
        <v>101</v>
      </c>
      <c r="H306" s="421"/>
      <c r="I306" s="375"/>
      <c r="J306" s="375"/>
      <c r="K306" s="375"/>
      <c r="L306" s="375">
        <f>Table148[[#This Row],[Ambitious target 2030]]+Table148[[#This Row],[Ambitious target 2030]]*0.5</f>
        <v>0</v>
      </c>
      <c r="M306" s="375"/>
      <c r="N306" s="375"/>
      <c r="O306" s="375"/>
      <c r="P306" s="375"/>
      <c r="Q306" s="375">
        <f>Table148[[#This Row],[Red target]]-Table148[[#This Row],[Red target]]*0.5</f>
        <v>0</v>
      </c>
      <c r="R306" s="375"/>
      <c r="S306" s="375"/>
      <c r="T306" s="375"/>
      <c r="U306" s="375"/>
      <c r="V306" s="375"/>
      <c r="W306" s="375"/>
      <c r="X306" s="375"/>
      <c r="Y306" s="375"/>
      <c r="Z306" s="375"/>
      <c r="AA306" s="375"/>
      <c r="AB306" s="375"/>
      <c r="AC306" s="396"/>
      <c r="AD306" s="360"/>
      <c r="AE306" s="360"/>
      <c r="AF306" s="360"/>
      <c r="AG306" s="360"/>
      <c r="AH306" s="360"/>
      <c r="AI306" s="360"/>
    </row>
    <row r="307" spans="1:35" hidden="1" x14ac:dyDescent="0.25">
      <c r="A307" s="390"/>
      <c r="B307" s="369"/>
      <c r="C307" s="369"/>
      <c r="D307" s="369" t="s">
        <v>702</v>
      </c>
      <c r="E307" s="379"/>
      <c r="F307" s="380"/>
      <c r="G307" s="381">
        <v>98</v>
      </c>
      <c r="H307" s="421"/>
      <c r="I307" s="375"/>
      <c r="J307" s="375"/>
      <c r="K307" s="375"/>
      <c r="L307" s="375">
        <f>Table148[[#This Row],[Ambitious target 2030]]+Table148[[#This Row],[Ambitious target 2030]]*0.5</f>
        <v>0</v>
      </c>
      <c r="M307" s="375"/>
      <c r="N307" s="375"/>
      <c r="O307" s="375"/>
      <c r="P307" s="375"/>
      <c r="Q307" s="375">
        <f>Table148[[#This Row],[Red target]]-Table148[[#This Row],[Red target]]*0.5</f>
        <v>0</v>
      </c>
      <c r="R307" s="375"/>
      <c r="S307" s="375"/>
      <c r="T307" s="375"/>
      <c r="U307" s="375"/>
      <c r="V307" s="375"/>
      <c r="W307" s="375"/>
      <c r="X307" s="375"/>
      <c r="Y307" s="375"/>
      <c r="Z307" s="375"/>
      <c r="AA307" s="375"/>
      <c r="AB307" s="375"/>
      <c r="AC307" s="396"/>
      <c r="AD307" s="360"/>
      <c r="AE307" s="360"/>
      <c r="AF307" s="360"/>
      <c r="AG307" s="360"/>
      <c r="AH307" s="360"/>
      <c r="AI307" s="360"/>
    </row>
    <row r="308" spans="1:35" hidden="1" x14ac:dyDescent="0.25">
      <c r="A308" s="390"/>
      <c r="B308" s="369"/>
      <c r="C308" s="369"/>
      <c r="D308" s="369" t="s">
        <v>813</v>
      </c>
      <c r="E308" s="379"/>
      <c r="F308" s="380"/>
      <c r="G308" s="381">
        <v>85</v>
      </c>
      <c r="H308" s="421"/>
      <c r="I308" s="375"/>
      <c r="J308" s="375"/>
      <c r="K308" s="375"/>
      <c r="L308" s="375">
        <f>Table148[[#This Row],[Ambitious target 2030]]+Table148[[#This Row],[Ambitious target 2030]]*0.5</f>
        <v>0</v>
      </c>
      <c r="M308" s="375"/>
      <c r="N308" s="375"/>
      <c r="O308" s="375"/>
      <c r="P308" s="375"/>
      <c r="Q308" s="375">
        <f>Table148[[#This Row],[Red target]]-Table148[[#This Row],[Red target]]*0.5</f>
        <v>0</v>
      </c>
      <c r="R308" s="375"/>
      <c r="S308" s="375"/>
      <c r="T308" s="375"/>
      <c r="U308" s="375"/>
      <c r="V308" s="375"/>
      <c r="W308" s="375"/>
      <c r="X308" s="375"/>
      <c r="Y308" s="375"/>
      <c r="Z308" s="375"/>
      <c r="AA308" s="375"/>
      <c r="AB308" s="375"/>
      <c r="AC308" s="396"/>
      <c r="AD308" s="360"/>
      <c r="AE308" s="360"/>
      <c r="AF308" s="360"/>
      <c r="AG308" s="360"/>
      <c r="AH308" s="360"/>
      <c r="AI308" s="360"/>
    </row>
    <row r="309" spans="1:35" hidden="1" x14ac:dyDescent="0.25">
      <c r="A309" s="390"/>
      <c r="B309" s="369"/>
      <c r="C309" s="369"/>
      <c r="D309" s="369" t="s">
        <v>929</v>
      </c>
      <c r="E309" s="382"/>
      <c r="F309" s="383"/>
      <c r="G309" s="384">
        <v>10</v>
      </c>
      <c r="H309" s="421"/>
      <c r="I309" s="375"/>
      <c r="J309" s="375"/>
      <c r="K309" s="375"/>
      <c r="L309" s="375">
        <f>Table148[[#This Row],[Ambitious target 2030]]+Table148[[#This Row],[Ambitious target 2030]]*0.5</f>
        <v>0</v>
      </c>
      <c r="M309" s="375"/>
      <c r="N309" s="375"/>
      <c r="O309" s="375"/>
      <c r="P309" s="375"/>
      <c r="Q309" s="375">
        <f>Table148[[#This Row],[Red target]]-Table148[[#This Row],[Red target]]*0.5</f>
        <v>0</v>
      </c>
      <c r="R309" s="375"/>
      <c r="S309" s="375"/>
      <c r="T309" s="375"/>
      <c r="U309" s="375"/>
      <c r="V309" s="375"/>
      <c r="W309" s="375"/>
      <c r="X309" s="375"/>
      <c r="Y309" s="375"/>
      <c r="Z309" s="375"/>
      <c r="AA309" s="375"/>
      <c r="AB309" s="375"/>
      <c r="AC309" s="396"/>
      <c r="AD309" s="360"/>
      <c r="AE309" s="360"/>
      <c r="AF309" s="360"/>
      <c r="AG309" s="360"/>
      <c r="AH309" s="360"/>
      <c r="AI309" s="360"/>
    </row>
    <row r="310" spans="1:35" hidden="1" x14ac:dyDescent="0.25">
      <c r="A310" s="390"/>
      <c r="B310" s="369"/>
      <c r="C310" s="369"/>
      <c r="D310" s="369" t="s">
        <v>844</v>
      </c>
      <c r="E310" s="382"/>
      <c r="F310" s="383"/>
      <c r="G310" s="384">
        <v>10</v>
      </c>
      <c r="H310" s="421"/>
      <c r="I310" s="375"/>
      <c r="J310" s="375"/>
      <c r="K310" s="375"/>
      <c r="L310" s="375">
        <f>Table148[[#This Row],[Ambitious target 2030]]+Table148[[#This Row],[Ambitious target 2030]]*0.5</f>
        <v>0</v>
      </c>
      <c r="M310" s="375"/>
      <c r="N310" s="375"/>
      <c r="O310" s="375"/>
      <c r="P310" s="375"/>
      <c r="Q310" s="375">
        <f>Table148[[#This Row],[Red target]]-Table148[[#This Row],[Red target]]*0.5</f>
        <v>0</v>
      </c>
      <c r="R310" s="375"/>
      <c r="S310" s="375"/>
      <c r="T310" s="375"/>
      <c r="U310" s="375"/>
      <c r="V310" s="375"/>
      <c r="W310" s="375"/>
      <c r="X310" s="375"/>
      <c r="Y310" s="375"/>
      <c r="Z310" s="375"/>
      <c r="AA310" s="375"/>
      <c r="AB310" s="375"/>
      <c r="AC310" s="396"/>
      <c r="AD310" s="360"/>
      <c r="AE310" s="360"/>
      <c r="AF310" s="360"/>
      <c r="AG310" s="360"/>
      <c r="AH310" s="360"/>
      <c r="AI310" s="360"/>
    </row>
    <row r="311" spans="1:35" hidden="1" x14ac:dyDescent="0.25">
      <c r="A311" s="390"/>
      <c r="B311" s="369"/>
      <c r="C311" s="369"/>
      <c r="D311" s="369" t="s">
        <v>928</v>
      </c>
      <c r="E311" s="382"/>
      <c r="F311" s="383"/>
      <c r="G311" s="384">
        <v>10</v>
      </c>
      <c r="H311" s="421"/>
      <c r="I311" s="375"/>
      <c r="J311" s="375"/>
      <c r="K311" s="375"/>
      <c r="L311" s="375">
        <f>Table148[[#This Row],[Ambitious target 2030]]+Table148[[#This Row],[Ambitious target 2030]]*0.5</f>
        <v>0</v>
      </c>
      <c r="M311" s="375"/>
      <c r="N311" s="375"/>
      <c r="O311" s="375"/>
      <c r="P311" s="375"/>
      <c r="Q311" s="375">
        <f>Table148[[#This Row],[Red target]]-Table148[[#This Row],[Red target]]*0.5</f>
        <v>0</v>
      </c>
      <c r="R311" s="375"/>
      <c r="S311" s="375"/>
      <c r="T311" s="375"/>
      <c r="U311" s="375"/>
      <c r="V311" s="375"/>
      <c r="W311" s="375"/>
      <c r="X311" s="375"/>
      <c r="Y311" s="375"/>
      <c r="Z311" s="375"/>
      <c r="AA311" s="375"/>
      <c r="AB311" s="375"/>
      <c r="AC311" s="396"/>
      <c r="AD311" s="360"/>
      <c r="AE311" s="360"/>
      <c r="AF311" s="360"/>
      <c r="AG311" s="360"/>
      <c r="AH311" s="360"/>
      <c r="AI311" s="360"/>
    </row>
    <row r="312" spans="1:35" hidden="1" x14ac:dyDescent="0.25">
      <c r="A312" s="390"/>
      <c r="B312" s="369"/>
      <c r="C312" s="369"/>
      <c r="D312" s="369" t="s">
        <v>1036</v>
      </c>
      <c r="E312" s="382"/>
      <c r="F312" s="383"/>
      <c r="G312" s="384">
        <v>5</v>
      </c>
      <c r="H312" s="421"/>
      <c r="I312" s="375"/>
      <c r="J312" s="375"/>
      <c r="K312" s="375"/>
      <c r="L312" s="375">
        <f>Table148[[#This Row],[Ambitious target 2030]]+Table148[[#This Row],[Ambitious target 2030]]*0.5</f>
        <v>0</v>
      </c>
      <c r="M312" s="375"/>
      <c r="N312" s="375"/>
      <c r="O312" s="375"/>
      <c r="P312" s="375"/>
      <c r="Q312" s="375">
        <f>Table148[[#This Row],[Red target]]-Table148[[#This Row],[Red target]]*0.5</f>
        <v>0</v>
      </c>
      <c r="R312" s="375"/>
      <c r="S312" s="375"/>
      <c r="T312" s="375"/>
      <c r="U312" s="375"/>
      <c r="V312" s="375"/>
      <c r="W312" s="375"/>
      <c r="X312" s="375"/>
      <c r="Y312" s="375"/>
      <c r="Z312" s="375"/>
      <c r="AA312" s="375"/>
      <c r="AB312" s="375"/>
      <c r="AC312" s="396"/>
      <c r="AD312" s="360"/>
      <c r="AE312" s="360"/>
      <c r="AF312" s="360"/>
      <c r="AG312" s="360"/>
      <c r="AH312" s="360"/>
      <c r="AI312" s="360"/>
    </row>
    <row r="313" spans="1:35" hidden="1" x14ac:dyDescent="0.25">
      <c r="A313" s="390"/>
      <c r="B313" s="369"/>
      <c r="C313" s="369"/>
      <c r="D313" s="369" t="s">
        <v>713</v>
      </c>
      <c r="E313" s="382"/>
      <c r="F313" s="383"/>
      <c r="G313" s="384">
        <v>5</v>
      </c>
      <c r="H313" s="421"/>
      <c r="I313" s="375"/>
      <c r="J313" s="375"/>
      <c r="K313" s="375"/>
      <c r="L313" s="375">
        <f>Table148[[#This Row],[Ambitious target 2030]]+Table148[[#This Row],[Ambitious target 2030]]*0.5</f>
        <v>0</v>
      </c>
      <c r="M313" s="375"/>
      <c r="N313" s="375"/>
      <c r="O313" s="375"/>
      <c r="P313" s="375"/>
      <c r="Q313" s="375">
        <f>Table148[[#This Row],[Red target]]-Table148[[#This Row],[Red target]]*0.5</f>
        <v>0</v>
      </c>
      <c r="R313" s="375"/>
      <c r="S313" s="375"/>
      <c r="T313" s="375"/>
      <c r="U313" s="375"/>
      <c r="V313" s="375"/>
      <c r="W313" s="375"/>
      <c r="X313" s="375"/>
      <c r="Y313" s="375"/>
      <c r="Z313" s="375"/>
      <c r="AA313" s="375"/>
      <c r="AB313" s="375"/>
      <c r="AC313" s="396"/>
      <c r="AD313" s="360"/>
      <c r="AE313" s="360"/>
      <c r="AF313" s="360"/>
      <c r="AG313" s="360"/>
      <c r="AH313" s="360"/>
      <c r="AI313" s="360"/>
    </row>
    <row r="314" spans="1:35" s="386" customFormat="1" hidden="1" x14ac:dyDescent="0.25">
      <c r="A314" s="409"/>
      <c r="B314" s="406"/>
      <c r="C314" s="406"/>
      <c r="D314" s="433"/>
      <c r="E314" s="407">
        <v>2015</v>
      </c>
      <c r="F314" s="407">
        <v>2016</v>
      </c>
      <c r="G314" s="407">
        <v>2017</v>
      </c>
      <c r="H314" s="407"/>
      <c r="I314" s="407"/>
      <c r="J314" s="407"/>
      <c r="K314" s="407"/>
      <c r="L314" s="407">
        <f>Table148[[#This Row],[Ambitious target 2030]]+Table148[[#This Row],[Ambitious target 2030]]*0.5</f>
        <v>0</v>
      </c>
      <c r="M314" s="407"/>
      <c r="N314" s="407"/>
      <c r="O314" s="407"/>
      <c r="P314" s="407"/>
      <c r="Q314" s="407">
        <f>Table148[[#This Row],[Red target]]-Table148[[#This Row],[Red target]]*0.5</f>
        <v>0</v>
      </c>
      <c r="R314" s="407"/>
      <c r="S314" s="407"/>
      <c r="T314" s="407"/>
      <c r="U314" s="407"/>
      <c r="V314" s="407"/>
      <c r="W314" s="407"/>
      <c r="X314" s="407"/>
      <c r="Y314" s="407"/>
      <c r="Z314" s="407"/>
      <c r="AA314" s="407"/>
      <c r="AB314" s="407"/>
      <c r="AC314" s="413"/>
    </row>
    <row r="315" spans="1:35" x14ac:dyDescent="0.25">
      <c r="A315" s="418" t="s">
        <v>598</v>
      </c>
      <c r="B315" s="437" t="s">
        <v>829</v>
      </c>
      <c r="C315" s="437" t="s">
        <v>819</v>
      </c>
      <c r="D315" s="436" t="s">
        <v>904</v>
      </c>
      <c r="E315" s="420">
        <v>106330.2</v>
      </c>
      <c r="F315" s="420">
        <v>108375.6</v>
      </c>
      <c r="G315" s="420">
        <v>107659.5</v>
      </c>
      <c r="H315" s="421">
        <v>2015</v>
      </c>
      <c r="I315" s="421">
        <v>106330.2</v>
      </c>
      <c r="J315" s="421">
        <v>2015</v>
      </c>
      <c r="K315" s="411">
        <v>108644</v>
      </c>
      <c r="L315" s="411">
        <f>Table148[[#This Row],[Ambitious target 2030]]-Table148[[#This Row],[Ambitious target 2030]]*0.5</f>
        <v>47848.59</v>
      </c>
      <c r="M315" s="427">
        <f>Table148[[#This Row],[Data reference value]]+Table148[[#This Row],[Data reference value]]*Table148[[#This Row],[Ambitious target improvement rate 2030]]</f>
        <v>95697.18</v>
      </c>
      <c r="N315" s="427">
        <v>-0.1</v>
      </c>
      <c r="O315" s="421">
        <f>(Table148[[#This Row],[Ambitious target 2030]]-Table148[[#This Row],[Model reference value]])*0.5+Table148[[#This Row],[Model reference value]]</f>
        <v>102170.59</v>
      </c>
      <c r="P315" s="421">
        <f>(Table148[[#This Row],[Ambitious target 2030]]-Table148[[#This Row],[Model reference value]])*0.25+Table148[[#This Row],[Model reference value]]</f>
        <v>105407.295</v>
      </c>
      <c r="Q315" s="421">
        <f>Table148[[#This Row],[Red target]]+Table148[[#This Row],[Red target]]*0.5</f>
        <v>162966</v>
      </c>
      <c r="R315" s="421">
        <f>Table148[[#This Row],[Data reference value]]+Table148[[#This Row],[Data reference value]]*Table148[[#This Row],[Ambitious target improvement rate 2050]]</f>
        <v>85064.16</v>
      </c>
      <c r="S315" s="421">
        <v>-0.2</v>
      </c>
      <c r="T315" s="421">
        <f>(Table148[[#This Row],[Ambitious target 2050]]-Table148[[#This Row],[Model reference value]])*0.5+Table148[[#This Row],[Model reference value]]</f>
        <v>96854.080000000002</v>
      </c>
      <c r="U315" s="421">
        <f>(Table148[[#This Row],[Ambitious target 2050]]-Table148[[#This Row],[Model reference value]])*0.25+Table148[[#This Row],[Model reference value]]</f>
        <v>102749.04000000001</v>
      </c>
      <c r="V315" s="421">
        <f>Table148[[#This Row],[Data reference value]]+Table148[[#This Row],[Data reference value]]*Table148[[#This Row],[Ambitious target improvement rate 2100]]</f>
        <v>74431.14</v>
      </c>
      <c r="W315" s="421">
        <v>-0.3</v>
      </c>
      <c r="X315" s="421">
        <f>(Table148[[#This Row],[Ambitious target 2100]]-Table148[[#This Row],[Model reference value]])*0.5+Table148[[#This Row],[Model reference value]]</f>
        <v>91537.57</v>
      </c>
      <c r="Y315" s="421">
        <f>(Table148[[#This Row],[Ambitious target 2100]]-Table148[[#This Row],[Model reference value]])*0.25+Table148[[#This Row],[Model reference value]]</f>
        <v>100090.785</v>
      </c>
      <c r="Z315" s="421">
        <f>Table148[[#This Row],[Model reference value]]</f>
        <v>108644</v>
      </c>
      <c r="AA315" s="421" t="s">
        <v>1140</v>
      </c>
      <c r="AB315" s="421"/>
      <c r="AC315" s="419" t="s">
        <v>846</v>
      </c>
      <c r="AD315" s="371" t="s">
        <v>934</v>
      </c>
      <c r="AE315" s="360"/>
      <c r="AF315" s="360"/>
      <c r="AG315" s="360"/>
      <c r="AH315" s="360"/>
      <c r="AI315" s="360"/>
    </row>
    <row r="316" spans="1:35" hidden="1" x14ac:dyDescent="0.25">
      <c r="A316" s="390"/>
      <c r="B316" s="369"/>
      <c r="C316" s="369"/>
      <c r="D316" s="385" t="s">
        <v>777</v>
      </c>
      <c r="E316" s="379">
        <v>29306</v>
      </c>
      <c r="F316" s="380">
        <v>26522.6</v>
      </c>
      <c r="G316" s="381">
        <v>24580.9</v>
      </c>
      <c r="H316" s="421"/>
      <c r="I316" s="375"/>
      <c r="J316" s="375"/>
      <c r="K316" s="375"/>
      <c r="L316" s="375">
        <f>Table148[[#This Row],[Ambitious target 2030]]+Table148[[#This Row],[Ambitious target 2030]]*0.5</f>
        <v>0</v>
      </c>
      <c r="M316" s="375"/>
      <c r="N316" s="375"/>
      <c r="O316" s="375"/>
      <c r="P316" s="375"/>
      <c r="Q316" s="375">
        <f>Table148[[#This Row],[Red target]]-Table148[[#This Row],[Red target]]*0.5</f>
        <v>0</v>
      </c>
      <c r="R316" s="375"/>
      <c r="S316" s="375"/>
      <c r="T316" s="375"/>
      <c r="U316" s="375"/>
      <c r="V316" s="375"/>
      <c r="W316" s="375"/>
      <c r="X316" s="375"/>
      <c r="Y316" s="375"/>
      <c r="Z316" s="375"/>
      <c r="AA316" s="375"/>
      <c r="AB316" s="375"/>
      <c r="AC316" s="396"/>
      <c r="AD316" s="360"/>
      <c r="AE316" s="360"/>
      <c r="AF316" s="360"/>
      <c r="AG316" s="360"/>
      <c r="AH316" s="360"/>
      <c r="AI316" s="360"/>
    </row>
    <row r="317" spans="1:35" hidden="1" x14ac:dyDescent="0.25">
      <c r="A317" s="390"/>
      <c r="B317" s="369"/>
      <c r="C317" s="369"/>
      <c r="D317" s="385" t="s">
        <v>691</v>
      </c>
      <c r="E317" s="379">
        <v>17372.3</v>
      </c>
      <c r="F317" s="380">
        <v>16735.400000000001</v>
      </c>
      <c r="G317" s="381">
        <v>16958.400000000001</v>
      </c>
      <c r="H317" s="421"/>
      <c r="I317" s="375"/>
      <c r="J317" s="375"/>
      <c r="K317" s="375"/>
      <c r="L317" s="375">
        <f>Table148[[#This Row],[Ambitious target 2030]]+Table148[[#This Row],[Ambitious target 2030]]*0.5</f>
        <v>0</v>
      </c>
      <c r="M317" s="375"/>
      <c r="N317" s="375"/>
      <c r="O317" s="375"/>
      <c r="P317" s="375"/>
      <c r="Q317" s="375">
        <f>Table148[[#This Row],[Red target]]-Table148[[#This Row],[Red target]]*0.5</f>
        <v>0</v>
      </c>
      <c r="R317" s="375"/>
      <c r="S317" s="375"/>
      <c r="T317" s="375"/>
      <c r="U317" s="375"/>
      <c r="V317" s="375"/>
      <c r="W317" s="375"/>
      <c r="X317" s="375"/>
      <c r="Y317" s="375"/>
      <c r="Z317" s="375"/>
      <c r="AA317" s="375"/>
      <c r="AB317" s="375"/>
      <c r="AC317" s="396"/>
      <c r="AD317" s="360"/>
      <c r="AE317" s="360"/>
      <c r="AF317" s="360"/>
      <c r="AG317" s="360"/>
      <c r="AH317" s="360"/>
      <c r="AI317" s="360"/>
    </row>
    <row r="318" spans="1:35" hidden="1" x14ac:dyDescent="0.25">
      <c r="A318" s="390"/>
      <c r="B318" s="369"/>
      <c r="C318" s="369"/>
      <c r="D318" s="385" t="s">
        <v>805</v>
      </c>
      <c r="E318" s="379">
        <v>12161.9</v>
      </c>
      <c r="F318" s="380">
        <v>12812.9</v>
      </c>
      <c r="G318" s="381">
        <v>12897.9</v>
      </c>
      <c r="H318" s="421"/>
      <c r="I318" s="375"/>
      <c r="J318" s="375"/>
      <c r="K318" s="375"/>
      <c r="L318" s="375">
        <f>Table148[[#This Row],[Ambitious target 2030]]+Table148[[#This Row],[Ambitious target 2030]]*0.5</f>
        <v>0</v>
      </c>
      <c r="M318" s="375"/>
      <c r="N318" s="375"/>
      <c r="O318" s="375"/>
      <c r="P318" s="375"/>
      <c r="Q318" s="375">
        <f>Table148[[#This Row],[Red target]]-Table148[[#This Row],[Red target]]*0.5</f>
        <v>0</v>
      </c>
      <c r="R318" s="375"/>
      <c r="S318" s="375"/>
      <c r="T318" s="375"/>
      <c r="U318" s="375"/>
      <c r="V318" s="375"/>
      <c r="W318" s="375"/>
      <c r="X318" s="375"/>
      <c r="Y318" s="375"/>
      <c r="Z318" s="375"/>
      <c r="AA318" s="375"/>
      <c r="AB318" s="375"/>
      <c r="AC318" s="396"/>
      <c r="AD318" s="360"/>
      <c r="AE318" s="360"/>
      <c r="AF318" s="360"/>
      <c r="AG318" s="360"/>
      <c r="AH318" s="360"/>
      <c r="AI318" s="360"/>
    </row>
    <row r="319" spans="1:35" hidden="1" x14ac:dyDescent="0.25">
      <c r="A319" s="390"/>
      <c r="B319" s="369"/>
      <c r="C319" s="369"/>
      <c r="D319" s="385" t="s">
        <v>778</v>
      </c>
      <c r="E319" s="379">
        <v>3532.7</v>
      </c>
      <c r="F319" s="380">
        <v>4366</v>
      </c>
      <c r="G319" s="381">
        <v>4377</v>
      </c>
      <c r="H319" s="421"/>
      <c r="I319" s="375"/>
      <c r="J319" s="375"/>
      <c r="K319" s="375"/>
      <c r="L319" s="375">
        <f>Table148[[#This Row],[Ambitious target 2030]]+Table148[[#This Row],[Ambitious target 2030]]*0.5</f>
        <v>0</v>
      </c>
      <c r="M319" s="375"/>
      <c r="N319" s="375"/>
      <c r="O319" s="375"/>
      <c r="P319" s="375"/>
      <c r="Q319" s="375">
        <f>Table148[[#This Row],[Red target]]-Table148[[#This Row],[Red target]]*0.5</f>
        <v>0</v>
      </c>
      <c r="R319" s="375"/>
      <c r="S319" s="375"/>
      <c r="T319" s="375"/>
      <c r="U319" s="375"/>
      <c r="V319" s="375"/>
      <c r="W319" s="375"/>
      <c r="X319" s="375"/>
      <c r="Y319" s="375"/>
      <c r="Z319" s="375"/>
      <c r="AA319" s="375"/>
      <c r="AB319" s="375"/>
      <c r="AC319" s="396"/>
      <c r="AD319" s="360"/>
      <c r="AE319" s="360"/>
      <c r="AF319" s="360"/>
      <c r="AG319" s="360"/>
      <c r="AH319" s="360"/>
      <c r="AI319" s="360"/>
    </row>
    <row r="320" spans="1:35" hidden="1" x14ac:dyDescent="0.25">
      <c r="A320" s="390"/>
      <c r="B320" s="369"/>
      <c r="C320" s="369"/>
      <c r="D320" s="385" t="s">
        <v>775</v>
      </c>
      <c r="E320" s="379">
        <v>2860</v>
      </c>
      <c r="F320" s="380">
        <v>3231.9</v>
      </c>
      <c r="G320" s="381">
        <v>3473</v>
      </c>
      <c r="H320" s="421"/>
      <c r="I320" s="375"/>
      <c r="J320" s="375"/>
      <c r="K320" s="375"/>
      <c r="L320" s="375">
        <f>Table148[[#This Row],[Ambitious target 2030]]+Table148[[#This Row],[Ambitious target 2030]]*0.5</f>
        <v>0</v>
      </c>
      <c r="M320" s="375"/>
      <c r="N320" s="375"/>
      <c r="O320" s="375"/>
      <c r="P320" s="375"/>
      <c r="Q320" s="375">
        <f>Table148[[#This Row],[Red target]]-Table148[[#This Row],[Red target]]*0.5</f>
        <v>0</v>
      </c>
      <c r="R320" s="375"/>
      <c r="S320" s="375"/>
      <c r="T320" s="375"/>
      <c r="U320" s="375"/>
      <c r="V320" s="375"/>
      <c r="W320" s="375"/>
      <c r="X320" s="375"/>
      <c r="Y320" s="375"/>
      <c r="Z320" s="375"/>
      <c r="AA320" s="375"/>
      <c r="AB320" s="375"/>
      <c r="AC320" s="396"/>
      <c r="AD320" s="360"/>
      <c r="AE320" s="360"/>
      <c r="AF320" s="360"/>
      <c r="AG320" s="360"/>
      <c r="AH320" s="360"/>
      <c r="AI320" s="360"/>
    </row>
    <row r="321" spans="1:35" hidden="1" x14ac:dyDescent="0.25">
      <c r="A321" s="390"/>
      <c r="B321" s="369"/>
      <c r="C321" s="369"/>
      <c r="D321" s="385" t="s">
        <v>810</v>
      </c>
      <c r="E321" s="382">
        <v>5.6</v>
      </c>
      <c r="F321" s="383">
        <v>6.6</v>
      </c>
      <c r="G321" s="384">
        <v>6.7</v>
      </c>
      <c r="H321" s="421"/>
      <c r="I321" s="375"/>
      <c r="J321" s="375"/>
      <c r="K321" s="375"/>
      <c r="L321" s="375">
        <f>Table148[[#This Row],[Ambitious target 2030]]+Table148[[#This Row],[Ambitious target 2030]]*0.5</f>
        <v>0</v>
      </c>
      <c r="M321" s="375"/>
      <c r="N321" s="375"/>
      <c r="O321" s="375"/>
      <c r="P321" s="375"/>
      <c r="Q321" s="375">
        <f>Table148[[#This Row],[Red target]]-Table148[[#This Row],[Red target]]*0.5</f>
        <v>0</v>
      </c>
      <c r="R321" s="375"/>
      <c r="S321" s="375"/>
      <c r="T321" s="375"/>
      <c r="U321" s="375"/>
      <c r="V321" s="375"/>
      <c r="W321" s="375"/>
      <c r="X321" s="375"/>
      <c r="Y321" s="375"/>
      <c r="Z321" s="375"/>
      <c r="AA321" s="375"/>
      <c r="AB321" s="375"/>
      <c r="AC321" s="396"/>
      <c r="AD321" s="360"/>
      <c r="AE321" s="360"/>
      <c r="AF321" s="360"/>
      <c r="AG321" s="360"/>
      <c r="AH321" s="360"/>
      <c r="AI321" s="360"/>
    </row>
    <row r="322" spans="1:35" hidden="1" x14ac:dyDescent="0.25">
      <c r="A322" s="390"/>
      <c r="B322" s="369"/>
      <c r="C322" s="369"/>
      <c r="D322" s="385" t="s">
        <v>806</v>
      </c>
      <c r="E322" s="382">
        <v>9.6999999999999993</v>
      </c>
      <c r="F322" s="383">
        <v>5.3</v>
      </c>
      <c r="G322" s="384">
        <v>7.1</v>
      </c>
      <c r="H322" s="421"/>
      <c r="I322" s="375"/>
      <c r="J322" s="375"/>
      <c r="K322" s="375"/>
      <c r="L322" s="375">
        <f>Table148[[#This Row],[Ambitious target 2030]]+Table148[[#This Row],[Ambitious target 2030]]*0.5</f>
        <v>0</v>
      </c>
      <c r="M322" s="375"/>
      <c r="N322" s="375"/>
      <c r="O322" s="375"/>
      <c r="P322" s="375"/>
      <c r="Q322" s="375">
        <f>Table148[[#This Row],[Red target]]-Table148[[#This Row],[Red target]]*0.5</f>
        <v>0</v>
      </c>
      <c r="R322" s="375"/>
      <c r="S322" s="375"/>
      <c r="T322" s="375"/>
      <c r="U322" s="375"/>
      <c r="V322" s="375"/>
      <c r="W322" s="375"/>
      <c r="X322" s="375"/>
      <c r="Y322" s="375"/>
      <c r="Z322" s="375"/>
      <c r="AA322" s="375"/>
      <c r="AB322" s="375"/>
      <c r="AC322" s="396"/>
      <c r="AD322" s="360"/>
      <c r="AE322" s="360"/>
      <c r="AF322" s="360"/>
      <c r="AG322" s="360"/>
      <c r="AH322" s="360"/>
      <c r="AI322" s="360"/>
    </row>
    <row r="323" spans="1:35" hidden="1" x14ac:dyDescent="0.25">
      <c r="A323" s="390"/>
      <c r="B323" s="369"/>
      <c r="C323" s="369"/>
      <c r="D323" s="385" t="s">
        <v>689</v>
      </c>
      <c r="E323" s="382">
        <v>8.4</v>
      </c>
      <c r="F323" s="383">
        <v>7.3</v>
      </c>
      <c r="G323" s="384">
        <v>7.2</v>
      </c>
      <c r="H323" s="421"/>
      <c r="I323" s="375"/>
      <c r="J323" s="375"/>
      <c r="K323" s="375"/>
      <c r="L323" s="375">
        <f>Table148[[#This Row],[Ambitious target 2030]]+Table148[[#This Row],[Ambitious target 2030]]*0.5</f>
        <v>0</v>
      </c>
      <c r="M323" s="375"/>
      <c r="N323" s="375"/>
      <c r="O323" s="375"/>
      <c r="P323" s="375"/>
      <c r="Q323" s="375">
        <f>Table148[[#This Row],[Red target]]-Table148[[#This Row],[Red target]]*0.5</f>
        <v>0</v>
      </c>
      <c r="R323" s="375"/>
      <c r="S323" s="375"/>
      <c r="T323" s="375"/>
      <c r="U323" s="375"/>
      <c r="V323" s="375"/>
      <c r="W323" s="375"/>
      <c r="X323" s="375"/>
      <c r="Y323" s="375"/>
      <c r="Z323" s="375"/>
      <c r="AA323" s="375"/>
      <c r="AB323" s="375"/>
      <c r="AC323" s="396"/>
      <c r="AD323" s="360"/>
      <c r="AE323" s="360"/>
      <c r="AF323" s="360"/>
      <c r="AG323" s="360"/>
      <c r="AH323" s="360"/>
      <c r="AI323" s="360"/>
    </row>
    <row r="324" spans="1:35" hidden="1" x14ac:dyDescent="0.25">
      <c r="A324" s="390"/>
      <c r="B324" s="369"/>
      <c r="C324" s="369"/>
      <c r="D324" s="385" t="s">
        <v>807</v>
      </c>
      <c r="E324" s="382"/>
      <c r="F324" s="383">
        <v>10</v>
      </c>
      <c r="G324" s="384">
        <v>13.5</v>
      </c>
      <c r="H324" s="421"/>
      <c r="I324" s="375"/>
      <c r="J324" s="375"/>
      <c r="K324" s="375"/>
      <c r="L324" s="375">
        <f>Table148[[#This Row],[Ambitious target 2030]]+Table148[[#This Row],[Ambitious target 2030]]*0.5</f>
        <v>0</v>
      </c>
      <c r="M324" s="375"/>
      <c r="N324" s="375"/>
      <c r="O324" s="375"/>
      <c r="P324" s="375"/>
      <c r="Q324" s="375">
        <f>Table148[[#This Row],[Red target]]-Table148[[#This Row],[Red target]]*0.5</f>
        <v>0</v>
      </c>
      <c r="R324" s="375"/>
      <c r="S324" s="375"/>
      <c r="T324" s="375"/>
      <c r="U324" s="375"/>
      <c r="V324" s="375"/>
      <c r="W324" s="375"/>
      <c r="X324" s="375"/>
      <c r="Y324" s="375"/>
      <c r="Z324" s="375"/>
      <c r="AA324" s="375"/>
      <c r="AB324" s="375"/>
      <c r="AC324" s="396"/>
      <c r="AD324" s="360"/>
      <c r="AE324" s="360"/>
      <c r="AF324" s="360"/>
      <c r="AG324" s="360"/>
      <c r="AH324" s="360"/>
      <c r="AI324" s="360"/>
    </row>
    <row r="325" spans="1:35" hidden="1" x14ac:dyDescent="0.25">
      <c r="A325" s="390"/>
      <c r="B325" s="369"/>
      <c r="C325" s="369"/>
      <c r="D325" s="385" t="s">
        <v>809</v>
      </c>
      <c r="E325" s="382">
        <v>19.100000000000001</v>
      </c>
      <c r="F325" s="383">
        <v>19.100000000000001</v>
      </c>
      <c r="G325" s="384">
        <v>20.8</v>
      </c>
      <c r="H325" s="421"/>
      <c r="I325" s="375"/>
      <c r="J325" s="375"/>
      <c r="K325" s="375"/>
      <c r="L325" s="375">
        <f>Table148[[#This Row],[Ambitious target 2030]]+Table148[[#This Row],[Ambitious target 2030]]*0.5</f>
        <v>0</v>
      </c>
      <c r="M325" s="375"/>
      <c r="N325" s="375"/>
      <c r="O325" s="375"/>
      <c r="P325" s="375"/>
      <c r="Q325" s="375">
        <f>Table148[[#This Row],[Red target]]-Table148[[#This Row],[Red target]]*0.5</f>
        <v>0</v>
      </c>
      <c r="R325" s="375"/>
      <c r="S325" s="375"/>
      <c r="T325" s="375"/>
      <c r="U325" s="375"/>
      <c r="V325" s="375"/>
      <c r="W325" s="375"/>
      <c r="X325" s="375"/>
      <c r="Y325" s="375"/>
      <c r="Z325" s="375"/>
      <c r="AA325" s="375"/>
      <c r="AB325" s="375"/>
      <c r="AC325" s="396"/>
      <c r="AD325" s="360"/>
      <c r="AE325" s="360"/>
      <c r="AF325" s="360"/>
      <c r="AG325" s="360"/>
      <c r="AH325" s="360"/>
      <c r="AI325" s="360"/>
    </row>
    <row r="326" spans="1:35" s="386" customFormat="1" hidden="1" x14ac:dyDescent="0.25">
      <c r="A326" s="409"/>
      <c r="B326" s="406"/>
      <c r="C326" s="406"/>
      <c r="D326" s="406"/>
      <c r="E326" s="407">
        <v>2015</v>
      </c>
      <c r="F326" s="407">
        <v>2016</v>
      </c>
      <c r="G326" s="407">
        <v>2017</v>
      </c>
      <c r="H326" s="407"/>
      <c r="I326" s="407"/>
      <c r="J326" s="407"/>
      <c r="K326" s="407"/>
      <c r="L326" s="407">
        <f>Table148[[#This Row],[Ambitious target 2030]]+Table148[[#This Row],[Ambitious target 2030]]*0.5</f>
        <v>0</v>
      </c>
      <c r="M326" s="407"/>
      <c r="N326" s="407"/>
      <c r="O326" s="407"/>
      <c r="P326" s="407"/>
      <c r="Q326" s="407">
        <f>Table148[[#This Row],[Red target]]-Table148[[#This Row],[Red target]]*0.5</f>
        <v>0</v>
      </c>
      <c r="R326" s="407"/>
      <c r="S326" s="407"/>
      <c r="T326" s="407"/>
      <c r="U326" s="407"/>
      <c r="V326" s="407"/>
      <c r="W326" s="407"/>
      <c r="X326" s="407"/>
      <c r="Y326" s="407"/>
      <c r="Z326" s="407"/>
      <c r="AA326" s="407"/>
      <c r="AB326" s="407"/>
      <c r="AC326" s="413"/>
    </row>
    <row r="327" spans="1:35" x14ac:dyDescent="0.25">
      <c r="A327" s="418" t="s">
        <v>601</v>
      </c>
      <c r="B327" s="437" t="s">
        <v>828</v>
      </c>
      <c r="C327" s="437" t="s">
        <v>1038</v>
      </c>
      <c r="D327" s="436" t="s">
        <v>904</v>
      </c>
      <c r="E327" s="420">
        <f>42290.37*0.4365</f>
        <v>18459.746505000003</v>
      </c>
      <c r="F327" s="420">
        <f>44294.649*0.4365</f>
        <v>19334.614288499997</v>
      </c>
      <c r="G327" s="420">
        <f>45451.398*0.4365</f>
        <v>19839.535227</v>
      </c>
      <c r="H327" s="421">
        <v>2015</v>
      </c>
      <c r="I327" s="421">
        <v>18459.746505000003</v>
      </c>
      <c r="J327" s="421">
        <v>2015</v>
      </c>
      <c r="K327" s="411">
        <v>20339.8</v>
      </c>
      <c r="L327" s="411">
        <f>Table148[[#This Row],[Ambitious target 2030]]-Table148[[#This Row],[Ambitious target 2030]]*0.5</f>
        <v>8306.8859272500013</v>
      </c>
      <c r="M327" s="427">
        <f>Table148[[#This Row],[Data reference value]]+Table148[[#This Row],[Data reference value]]*Table148[[#This Row],[Ambitious target improvement rate 2030]]</f>
        <v>16613.771854500003</v>
      </c>
      <c r="N327" s="427">
        <v>-0.1</v>
      </c>
      <c r="O327" s="421">
        <f>(Table148[[#This Row],[Ambitious target 2030]]-Table148[[#This Row],[Model reference value]])*0.5+Table148[[#This Row],[Model reference value]]</f>
        <v>18476.785927249999</v>
      </c>
      <c r="P327" s="421">
        <f>(Table148[[#This Row],[Ambitious target 2030]]-Table148[[#This Row],[Model reference value]])*0.25+Table148[[#This Row],[Model reference value]]</f>
        <v>19408.292963625001</v>
      </c>
      <c r="Q327" s="421">
        <f>Table148[[#This Row],[Red target]]+Table148[[#This Row],[Red target]]*0.5</f>
        <v>30509.699999999997</v>
      </c>
      <c r="R327" s="421">
        <f>Table148[[#This Row],[Data reference value]]+Table148[[#This Row],[Data reference value]]*Table148[[#This Row],[Ambitious target improvement rate 2050]]</f>
        <v>14767.797204000002</v>
      </c>
      <c r="S327" s="421">
        <v>-0.2</v>
      </c>
      <c r="T327" s="421">
        <f>(Table148[[#This Row],[Ambitious target 2050]]-Table148[[#This Row],[Model reference value]])*0.5+Table148[[#This Row],[Model reference value]]</f>
        <v>17553.798602000003</v>
      </c>
      <c r="U327" s="421">
        <f>(Table148[[#This Row],[Ambitious target 2050]]-Table148[[#This Row],[Model reference value]])*0.25+Table148[[#This Row],[Model reference value]]</f>
        <v>18946.799300999999</v>
      </c>
      <c r="V327" s="421">
        <f>Table148[[#This Row],[Data reference value]]+Table148[[#This Row],[Data reference value]]*Table148[[#This Row],[Ambitious target improvement rate 2100]]</f>
        <v>12921.822553500002</v>
      </c>
      <c r="W327" s="421">
        <v>-0.3</v>
      </c>
      <c r="X327" s="421">
        <f>(Table148[[#This Row],[Ambitious target 2100]]-Table148[[#This Row],[Model reference value]])*0.5+Table148[[#This Row],[Model reference value]]</f>
        <v>16630.811276749999</v>
      </c>
      <c r="Y327" s="421">
        <f>(Table148[[#This Row],[Ambitious target 2100]]-Table148[[#This Row],[Model reference value]])*0.25+Table148[[#This Row],[Model reference value]]</f>
        <v>18485.305638375001</v>
      </c>
      <c r="Z327" s="421">
        <f>Table148[[#This Row],[Model reference value]]</f>
        <v>20339.8</v>
      </c>
      <c r="AA327" s="421" t="s">
        <v>1140</v>
      </c>
      <c r="AB327" s="421" t="s">
        <v>1095</v>
      </c>
      <c r="AC327" s="419" t="s">
        <v>846</v>
      </c>
      <c r="AD327" s="371" t="s">
        <v>934</v>
      </c>
      <c r="AE327" s="360"/>
      <c r="AF327" s="360"/>
      <c r="AG327" s="360"/>
      <c r="AH327" s="360"/>
      <c r="AI327" s="360"/>
    </row>
    <row r="328" spans="1:35" hidden="1" x14ac:dyDescent="0.25">
      <c r="A328" s="390"/>
      <c r="B328" s="369"/>
      <c r="C328" s="369"/>
      <c r="D328" s="369"/>
      <c r="E328" s="379"/>
      <c r="F328" s="380"/>
      <c r="G328" s="381"/>
      <c r="H328" s="421"/>
      <c r="I328" s="375"/>
      <c r="J328" s="375"/>
      <c r="K328" s="375"/>
      <c r="L328" s="375">
        <f>Table148[[#This Row],[Ambitious target 2030]]+Table148[[#This Row],[Ambitious target 2030]]*0.5</f>
        <v>0</v>
      </c>
      <c r="M328" s="375"/>
      <c r="N328" s="375"/>
      <c r="O328" s="375"/>
      <c r="P328" s="375"/>
      <c r="Q328" s="375">
        <f>Table148[[#This Row],[Red target]]-Table148[[#This Row],[Red target]]*0.5</f>
        <v>0</v>
      </c>
      <c r="R328" s="375"/>
      <c r="S328" s="375"/>
      <c r="T328" s="375"/>
      <c r="U328" s="375"/>
      <c r="V328" s="375"/>
      <c r="W328" s="375"/>
      <c r="X328" s="375"/>
      <c r="Y328" s="375"/>
      <c r="Z328" s="375"/>
      <c r="AA328" s="375"/>
      <c r="AB328" s="375"/>
      <c r="AC328" s="396"/>
      <c r="AD328" s="360"/>
      <c r="AE328" s="360"/>
      <c r="AF328" s="360"/>
      <c r="AG328" s="360"/>
      <c r="AH328" s="360"/>
      <c r="AI328" s="360"/>
    </row>
    <row r="329" spans="1:35" hidden="1" x14ac:dyDescent="0.25">
      <c r="A329" s="390"/>
      <c r="B329" s="369"/>
      <c r="C329" s="369"/>
      <c r="D329" s="369"/>
      <c r="E329" s="379"/>
      <c r="F329" s="380"/>
      <c r="G329" s="381"/>
      <c r="H329" s="421"/>
      <c r="I329" s="375"/>
      <c r="J329" s="375"/>
      <c r="K329" s="375"/>
      <c r="L329" s="375">
        <f>Table148[[#This Row],[Ambitious target 2030]]+Table148[[#This Row],[Ambitious target 2030]]*0.5</f>
        <v>0</v>
      </c>
      <c r="M329" s="375"/>
      <c r="N329" s="375"/>
      <c r="O329" s="375"/>
      <c r="P329" s="375"/>
      <c r="Q329" s="375">
        <f>Table148[[#This Row],[Red target]]-Table148[[#This Row],[Red target]]*0.5</f>
        <v>0</v>
      </c>
      <c r="R329" s="375"/>
      <c r="S329" s="375"/>
      <c r="T329" s="375"/>
      <c r="U329" s="375"/>
      <c r="V329" s="375"/>
      <c r="W329" s="375"/>
      <c r="X329" s="375"/>
      <c r="Y329" s="375"/>
      <c r="Z329" s="375"/>
      <c r="AA329" s="375"/>
      <c r="AB329" s="375"/>
      <c r="AC329" s="396"/>
      <c r="AD329" s="360"/>
      <c r="AE329" s="360"/>
      <c r="AF329" s="360"/>
      <c r="AG329" s="360"/>
      <c r="AH329" s="360"/>
      <c r="AI329" s="360"/>
    </row>
    <row r="330" spans="1:35" hidden="1" x14ac:dyDescent="0.25">
      <c r="A330" s="390"/>
      <c r="B330" s="369"/>
      <c r="C330" s="369"/>
      <c r="D330" s="369"/>
      <c r="E330" s="379"/>
      <c r="F330" s="380"/>
      <c r="G330" s="381"/>
      <c r="H330" s="421"/>
      <c r="I330" s="375"/>
      <c r="J330" s="375"/>
      <c r="K330" s="375"/>
      <c r="L330" s="375">
        <f>Table148[[#This Row],[Ambitious target 2030]]+Table148[[#This Row],[Ambitious target 2030]]*0.5</f>
        <v>0</v>
      </c>
      <c r="M330" s="375"/>
      <c r="N330" s="375"/>
      <c r="O330" s="375"/>
      <c r="P330" s="375"/>
      <c r="Q330" s="375">
        <f>Table148[[#This Row],[Red target]]-Table148[[#This Row],[Red target]]*0.5</f>
        <v>0</v>
      </c>
      <c r="R330" s="375"/>
      <c r="S330" s="375"/>
      <c r="T330" s="375"/>
      <c r="U330" s="375"/>
      <c r="V330" s="375"/>
      <c r="W330" s="375"/>
      <c r="X330" s="375"/>
      <c r="Y330" s="375"/>
      <c r="Z330" s="375"/>
      <c r="AA330" s="375"/>
      <c r="AB330" s="375"/>
      <c r="AC330" s="396"/>
      <c r="AD330" s="360"/>
      <c r="AE330" s="360"/>
      <c r="AF330" s="360"/>
      <c r="AG330" s="360"/>
      <c r="AH330" s="360"/>
      <c r="AI330" s="360"/>
    </row>
    <row r="331" spans="1:35" hidden="1" x14ac:dyDescent="0.25">
      <c r="A331" s="390"/>
      <c r="B331" s="369"/>
      <c r="C331" s="369"/>
      <c r="D331" s="369"/>
      <c r="E331" s="379"/>
      <c r="F331" s="380"/>
      <c r="G331" s="381"/>
      <c r="H331" s="421"/>
      <c r="I331" s="375"/>
      <c r="J331" s="375"/>
      <c r="K331" s="375"/>
      <c r="L331" s="375">
        <f>Table148[[#This Row],[Ambitious target 2030]]+Table148[[#This Row],[Ambitious target 2030]]*0.5</f>
        <v>0</v>
      </c>
      <c r="M331" s="375"/>
      <c r="N331" s="375"/>
      <c r="O331" s="375"/>
      <c r="P331" s="375"/>
      <c r="Q331" s="375">
        <f>Table148[[#This Row],[Red target]]-Table148[[#This Row],[Red target]]*0.5</f>
        <v>0</v>
      </c>
      <c r="R331" s="375"/>
      <c r="S331" s="375"/>
      <c r="T331" s="375"/>
      <c r="U331" s="375"/>
      <c r="V331" s="375"/>
      <c r="W331" s="375"/>
      <c r="X331" s="375"/>
      <c r="Y331" s="375"/>
      <c r="Z331" s="375"/>
      <c r="AA331" s="375"/>
      <c r="AB331" s="375"/>
      <c r="AC331" s="396"/>
      <c r="AD331" s="360"/>
      <c r="AE331" s="360"/>
      <c r="AF331" s="360"/>
      <c r="AG331" s="360"/>
      <c r="AH331" s="360"/>
      <c r="AI331" s="360"/>
    </row>
    <row r="332" spans="1:35" hidden="1" x14ac:dyDescent="0.25">
      <c r="A332" s="390"/>
      <c r="B332" s="369"/>
      <c r="C332" s="369"/>
      <c r="D332" s="369"/>
      <c r="E332" s="379"/>
      <c r="F332" s="380"/>
      <c r="G332" s="381"/>
      <c r="H332" s="421"/>
      <c r="I332" s="375"/>
      <c r="J332" s="375"/>
      <c r="K332" s="375"/>
      <c r="L332" s="375">
        <f>Table148[[#This Row],[Ambitious target 2030]]+Table148[[#This Row],[Ambitious target 2030]]*0.5</f>
        <v>0</v>
      </c>
      <c r="M332" s="375"/>
      <c r="N332" s="375"/>
      <c r="O332" s="375"/>
      <c r="P332" s="375"/>
      <c r="Q332" s="375">
        <f>Table148[[#This Row],[Red target]]-Table148[[#This Row],[Red target]]*0.5</f>
        <v>0</v>
      </c>
      <c r="R332" s="375"/>
      <c r="S332" s="375"/>
      <c r="T332" s="375"/>
      <c r="U332" s="375"/>
      <c r="V332" s="375"/>
      <c r="W332" s="375"/>
      <c r="X332" s="375"/>
      <c r="Y332" s="375"/>
      <c r="Z332" s="375"/>
      <c r="AA332" s="375"/>
      <c r="AB332" s="375"/>
      <c r="AC332" s="396"/>
      <c r="AD332" s="360"/>
      <c r="AE332" s="360"/>
      <c r="AF332" s="360"/>
      <c r="AG332" s="360"/>
      <c r="AH332" s="360"/>
      <c r="AI332" s="360"/>
    </row>
    <row r="333" spans="1:35" hidden="1" x14ac:dyDescent="0.25">
      <c r="A333" s="390"/>
      <c r="B333" s="369"/>
      <c r="C333" s="369"/>
      <c r="D333" s="369"/>
      <c r="E333" s="382"/>
      <c r="F333" s="383"/>
      <c r="G333" s="384"/>
      <c r="H333" s="421"/>
      <c r="I333" s="375"/>
      <c r="J333" s="375"/>
      <c r="K333" s="375"/>
      <c r="L333" s="375">
        <f>Table148[[#This Row],[Ambitious target 2030]]+Table148[[#This Row],[Ambitious target 2030]]*0.5</f>
        <v>0</v>
      </c>
      <c r="M333" s="375"/>
      <c r="N333" s="375"/>
      <c r="O333" s="375"/>
      <c r="P333" s="375"/>
      <c r="Q333" s="375">
        <f>Table148[[#This Row],[Red target]]-Table148[[#This Row],[Red target]]*0.5</f>
        <v>0</v>
      </c>
      <c r="R333" s="375"/>
      <c r="S333" s="375"/>
      <c r="T333" s="375"/>
      <c r="U333" s="375"/>
      <c r="V333" s="375"/>
      <c r="W333" s="375"/>
      <c r="X333" s="375"/>
      <c r="Y333" s="375"/>
      <c r="Z333" s="375"/>
      <c r="AA333" s="375"/>
      <c r="AB333" s="375"/>
      <c r="AC333" s="396"/>
      <c r="AD333" s="360"/>
      <c r="AE333" s="360"/>
      <c r="AF333" s="360"/>
      <c r="AG333" s="360"/>
      <c r="AH333" s="360"/>
      <c r="AI333" s="360"/>
    </row>
    <row r="334" spans="1:35" hidden="1" x14ac:dyDescent="0.25">
      <c r="A334" s="390"/>
      <c r="B334" s="369"/>
      <c r="C334" s="369"/>
      <c r="D334" s="369"/>
      <c r="E334" s="382"/>
      <c r="F334" s="383"/>
      <c r="G334" s="384"/>
      <c r="H334" s="421"/>
      <c r="I334" s="375"/>
      <c r="J334" s="375"/>
      <c r="K334" s="375"/>
      <c r="L334" s="375">
        <f>Table148[[#This Row],[Ambitious target 2030]]+Table148[[#This Row],[Ambitious target 2030]]*0.5</f>
        <v>0</v>
      </c>
      <c r="M334" s="375"/>
      <c r="N334" s="375"/>
      <c r="O334" s="375"/>
      <c r="P334" s="375"/>
      <c r="Q334" s="375">
        <f>Table148[[#This Row],[Red target]]-Table148[[#This Row],[Red target]]*0.5</f>
        <v>0</v>
      </c>
      <c r="R334" s="375"/>
      <c r="S334" s="375"/>
      <c r="T334" s="375"/>
      <c r="U334" s="375"/>
      <c r="V334" s="375"/>
      <c r="W334" s="375"/>
      <c r="X334" s="375"/>
      <c r="Y334" s="375"/>
      <c r="Z334" s="375"/>
      <c r="AA334" s="375"/>
      <c r="AB334" s="375"/>
      <c r="AC334" s="396"/>
      <c r="AD334" s="360"/>
      <c r="AE334" s="360"/>
      <c r="AF334" s="360"/>
      <c r="AG334" s="360"/>
      <c r="AH334" s="360"/>
      <c r="AI334" s="360"/>
    </row>
    <row r="335" spans="1:35" hidden="1" x14ac:dyDescent="0.25">
      <c r="A335" s="390"/>
      <c r="B335" s="369"/>
      <c r="C335" s="369"/>
      <c r="D335" s="369"/>
      <c r="E335" s="382"/>
      <c r="F335" s="383"/>
      <c r="G335" s="384"/>
      <c r="H335" s="421"/>
      <c r="I335" s="375"/>
      <c r="J335" s="375"/>
      <c r="K335" s="375"/>
      <c r="L335" s="375">
        <f>Table148[[#This Row],[Ambitious target 2030]]+Table148[[#This Row],[Ambitious target 2030]]*0.5</f>
        <v>0</v>
      </c>
      <c r="M335" s="375"/>
      <c r="N335" s="375"/>
      <c r="O335" s="375"/>
      <c r="P335" s="375"/>
      <c r="Q335" s="375">
        <f>Table148[[#This Row],[Red target]]-Table148[[#This Row],[Red target]]*0.5</f>
        <v>0</v>
      </c>
      <c r="R335" s="375"/>
      <c r="S335" s="375"/>
      <c r="T335" s="375"/>
      <c r="U335" s="375"/>
      <c r="V335" s="375"/>
      <c r="W335" s="375"/>
      <c r="X335" s="375"/>
      <c r="Y335" s="375"/>
      <c r="Z335" s="375"/>
      <c r="AA335" s="375"/>
      <c r="AB335" s="375"/>
      <c r="AC335" s="396"/>
      <c r="AD335" s="360"/>
      <c r="AE335" s="360"/>
      <c r="AF335" s="360"/>
      <c r="AG335" s="360"/>
      <c r="AH335" s="360"/>
      <c r="AI335" s="360"/>
    </row>
    <row r="336" spans="1:35" hidden="1" x14ac:dyDescent="0.25">
      <c r="A336" s="390"/>
      <c r="B336" s="369"/>
      <c r="C336" s="369"/>
      <c r="D336" s="369"/>
      <c r="E336" s="382"/>
      <c r="F336" s="383"/>
      <c r="G336" s="384"/>
      <c r="H336" s="421"/>
      <c r="I336" s="375"/>
      <c r="J336" s="375"/>
      <c r="K336" s="375"/>
      <c r="L336" s="375">
        <f>Table148[[#This Row],[Ambitious target 2030]]+Table148[[#This Row],[Ambitious target 2030]]*0.5</f>
        <v>0</v>
      </c>
      <c r="M336" s="375"/>
      <c r="N336" s="375"/>
      <c r="O336" s="375"/>
      <c r="P336" s="375"/>
      <c r="Q336" s="375">
        <f>Table148[[#This Row],[Red target]]-Table148[[#This Row],[Red target]]*0.5</f>
        <v>0</v>
      </c>
      <c r="R336" s="375"/>
      <c r="S336" s="375"/>
      <c r="T336" s="375"/>
      <c r="U336" s="375"/>
      <c r="V336" s="375"/>
      <c r="W336" s="375"/>
      <c r="X336" s="375"/>
      <c r="Y336" s="375"/>
      <c r="Z336" s="375"/>
      <c r="AA336" s="375"/>
      <c r="AB336" s="375"/>
      <c r="AC336" s="396"/>
      <c r="AD336" s="360"/>
      <c r="AE336" s="360"/>
      <c r="AF336" s="360"/>
      <c r="AG336" s="360"/>
      <c r="AH336" s="360"/>
      <c r="AI336" s="360"/>
    </row>
    <row r="337" spans="1:35" hidden="1" x14ac:dyDescent="0.25">
      <c r="A337" s="390"/>
      <c r="B337" s="369"/>
      <c r="C337" s="369"/>
      <c r="D337" s="369"/>
      <c r="E337" s="382"/>
      <c r="F337" s="383"/>
      <c r="G337" s="384"/>
      <c r="H337" s="421"/>
      <c r="I337" s="375"/>
      <c r="J337" s="375"/>
      <c r="K337" s="375"/>
      <c r="L337" s="375">
        <f>Table148[[#This Row],[Ambitious target 2030]]+Table148[[#This Row],[Ambitious target 2030]]*0.5</f>
        <v>0</v>
      </c>
      <c r="M337" s="375"/>
      <c r="N337" s="375"/>
      <c r="O337" s="375"/>
      <c r="P337" s="375"/>
      <c r="Q337" s="375">
        <f>Table148[[#This Row],[Red target]]-Table148[[#This Row],[Red target]]*0.5</f>
        <v>0</v>
      </c>
      <c r="R337" s="375"/>
      <c r="S337" s="375"/>
      <c r="T337" s="375"/>
      <c r="U337" s="375"/>
      <c r="V337" s="375"/>
      <c r="W337" s="375"/>
      <c r="X337" s="375"/>
      <c r="Y337" s="375"/>
      <c r="Z337" s="375"/>
      <c r="AA337" s="375"/>
      <c r="AB337" s="375"/>
      <c r="AC337" s="396"/>
      <c r="AD337" s="360"/>
      <c r="AE337" s="360"/>
      <c r="AF337" s="360"/>
      <c r="AG337" s="360"/>
      <c r="AH337" s="360"/>
      <c r="AI337" s="360"/>
    </row>
    <row r="338" spans="1:35" s="386" customFormat="1" hidden="1" x14ac:dyDescent="0.25">
      <c r="A338" s="409"/>
      <c r="B338" s="406"/>
      <c r="C338" s="406"/>
      <c r="D338" s="406"/>
      <c r="E338" s="406">
        <v>2015</v>
      </c>
      <c r="F338" s="406">
        <v>2016</v>
      </c>
      <c r="G338" s="406">
        <v>2017</v>
      </c>
      <c r="H338" s="406"/>
      <c r="I338" s="406"/>
      <c r="J338" s="406"/>
      <c r="K338" s="406"/>
      <c r="L338" s="406">
        <f>Table148[[#This Row],[Ambitious target 2030]]+Table148[[#This Row],[Ambitious target 2030]]*0.5</f>
        <v>0</v>
      </c>
      <c r="M338" s="406"/>
      <c r="N338" s="406"/>
      <c r="O338" s="406"/>
      <c r="P338" s="406"/>
      <c r="Q338" s="406">
        <f>Table148[[#This Row],[Red target]]-Table148[[#This Row],[Red target]]*0.5</f>
        <v>0</v>
      </c>
      <c r="R338" s="406"/>
      <c r="S338" s="406"/>
      <c r="T338" s="406"/>
      <c r="U338" s="406"/>
      <c r="V338" s="406"/>
      <c r="W338" s="406"/>
      <c r="X338" s="406"/>
      <c r="Y338" s="406"/>
      <c r="Z338" s="406"/>
      <c r="AA338" s="406"/>
      <c r="AB338" s="406"/>
      <c r="AC338" s="413"/>
    </row>
    <row r="339" spans="1:35" x14ac:dyDescent="0.25">
      <c r="A339" s="418" t="s">
        <v>831</v>
      </c>
      <c r="B339" s="437" t="s">
        <v>830</v>
      </c>
      <c r="C339" s="437" t="s">
        <v>667</v>
      </c>
      <c r="D339" s="436" t="s">
        <v>799</v>
      </c>
      <c r="E339" s="420">
        <v>5.6833</v>
      </c>
      <c r="F339" s="420">
        <v>5.3004074074074081</v>
      </c>
      <c r="G339" s="420">
        <v>5.7963461538461543</v>
      </c>
      <c r="H339" s="421">
        <v>2015</v>
      </c>
      <c r="I339" s="421">
        <v>5.6833</v>
      </c>
      <c r="J339" s="421">
        <v>2015</v>
      </c>
      <c r="K339" s="411">
        <v>9.7214799999999997</v>
      </c>
      <c r="L339" s="411">
        <f>Table148[[#This Row],[Ambitious target 2030]]-Table148[[#This Row],[Ambitious target 2030]]*0.5</f>
        <v>2.84165</v>
      </c>
      <c r="M339" s="421">
        <v>5.6833</v>
      </c>
      <c r="N339" s="422"/>
      <c r="O339" s="421">
        <f>(Table148[[#This Row],[Ambitious target 2030]]-Table148[[#This Row],[Model reference value]])*0.5+Table148[[#This Row],[Model reference value]]</f>
        <v>7.7023899999999994</v>
      </c>
      <c r="P339" s="421">
        <f>(Table148[[#This Row],[Ambitious target 2030]]-Table148[[#This Row],[Model reference value]])*0.25+Table148[[#This Row],[Model reference value]]</f>
        <v>8.7119350000000004</v>
      </c>
      <c r="Q339" s="421">
        <f>Table148[[#This Row],[Red target]]+Table148[[#This Row],[Red target]]*0.5</f>
        <v>14.58222</v>
      </c>
      <c r="R339" s="421">
        <f>Table148[[#This Row],[Ambitious target 2030]]*0.5</f>
        <v>2.84165</v>
      </c>
      <c r="S339" s="421"/>
      <c r="T339" s="421">
        <f>(Table148[[#This Row],[Ambitious target 2050]]-Table148[[#This Row],[Model reference value]])*0.5+Table148[[#This Row],[Model reference value]]</f>
        <v>6.2815649999999996</v>
      </c>
      <c r="U339" s="421">
        <f>(Table148[[#This Row],[Ambitious target 2050]]-Table148[[#This Row],[Model reference value]])*0.25+Table148[[#This Row],[Model reference value]]</f>
        <v>8.0015225000000001</v>
      </c>
      <c r="V339" s="421">
        <f>Table148[[#This Row],[Ambitious target 2030]]*0.2</f>
        <v>1.13666</v>
      </c>
      <c r="W339" s="421"/>
      <c r="X339" s="421">
        <f>(Table148[[#This Row],[Ambitious target 2100]]-Table148[[#This Row],[Model reference value]])*0.5+Table148[[#This Row],[Model reference value]]</f>
        <v>5.4290699999999994</v>
      </c>
      <c r="Y339" s="421">
        <f>(Table148[[#This Row],[Ambitious target 2100]]-Table148[[#This Row],[Model reference value]])*0.25+Table148[[#This Row],[Model reference value]]</f>
        <v>7.5752749999999995</v>
      </c>
      <c r="Z339" s="421">
        <f>Table148[[#This Row],[Model reference value]]</f>
        <v>9.7214799999999997</v>
      </c>
      <c r="AA339" s="421" t="s">
        <v>978</v>
      </c>
      <c r="AB339" s="421" t="s">
        <v>1181</v>
      </c>
      <c r="AC339" s="419" t="s">
        <v>822</v>
      </c>
      <c r="AD339" s="360" t="s">
        <v>823</v>
      </c>
      <c r="AE339" s="360"/>
      <c r="AF339" s="360"/>
      <c r="AG339" s="360"/>
      <c r="AH339" s="360"/>
      <c r="AI339" s="360"/>
    </row>
    <row r="340" spans="1:35" hidden="1" x14ac:dyDescent="0.25">
      <c r="A340" s="390"/>
      <c r="B340" s="369"/>
      <c r="C340" s="369"/>
      <c r="D340" s="378" t="s">
        <v>715</v>
      </c>
      <c r="E340" s="379">
        <v>58.088999999999999</v>
      </c>
      <c r="F340" s="380">
        <v>56.792999999999999</v>
      </c>
      <c r="G340" s="381">
        <v>57.323999999999998</v>
      </c>
      <c r="H340" s="421">
        <v>2017</v>
      </c>
      <c r="I340" s="375">
        <v>57.323999999999998</v>
      </c>
      <c r="J340" s="375"/>
      <c r="K340" s="375"/>
      <c r="L340" s="375">
        <f>Table148[[#This Row],[Ambitious target 2030]]+Table148[[#This Row],[Ambitious target 2030]]*0.5</f>
        <v>0</v>
      </c>
      <c r="M340" s="375"/>
      <c r="N340" s="375"/>
      <c r="O340" s="375"/>
      <c r="P340" s="375"/>
      <c r="Q340" s="375">
        <f>Table148[[#This Row],[Red target]]-Table148[[#This Row],[Red target]]*0.5</f>
        <v>0</v>
      </c>
      <c r="R340" s="375"/>
      <c r="S340" s="375"/>
      <c r="T340" s="375"/>
      <c r="U340" s="375"/>
      <c r="V340" s="375"/>
      <c r="W340" s="375"/>
      <c r="X340" s="375"/>
      <c r="Y340" s="375"/>
      <c r="Z340" s="375"/>
      <c r="AA340" s="375"/>
      <c r="AB340" s="375"/>
      <c r="AC340" s="396"/>
      <c r="AD340" s="360"/>
      <c r="AE340" s="360"/>
      <c r="AF340" s="360"/>
      <c r="AG340" s="360"/>
      <c r="AH340" s="360"/>
      <c r="AI340" s="360"/>
    </row>
    <row r="341" spans="1:35" hidden="1" x14ac:dyDescent="0.25">
      <c r="A341" s="390"/>
      <c r="B341" s="369"/>
      <c r="C341" s="369"/>
      <c r="D341" s="378" t="s">
        <v>771</v>
      </c>
      <c r="E341" s="379">
        <v>41.774000000000001</v>
      </c>
      <c r="F341" s="380">
        <v>46.052999999999997</v>
      </c>
      <c r="G341" s="381">
        <v>45.892000000000003</v>
      </c>
      <c r="H341" s="421">
        <v>2017</v>
      </c>
      <c r="I341" s="375">
        <v>45.892000000000003</v>
      </c>
      <c r="J341" s="375"/>
      <c r="K341" s="375"/>
      <c r="L341" s="375">
        <f>Table148[[#This Row],[Ambitious target 2030]]+Table148[[#This Row],[Ambitious target 2030]]*0.5</f>
        <v>0</v>
      </c>
      <c r="M341" s="375"/>
      <c r="N341" s="375"/>
      <c r="O341" s="375"/>
      <c r="P341" s="375"/>
      <c r="Q341" s="375">
        <f>Table148[[#This Row],[Red target]]-Table148[[#This Row],[Red target]]*0.5</f>
        <v>0</v>
      </c>
      <c r="R341" s="375"/>
      <c r="S341" s="375"/>
      <c r="T341" s="375"/>
      <c r="U341" s="375"/>
      <c r="V341" s="375"/>
      <c r="W341" s="375"/>
      <c r="X341" s="375"/>
      <c r="Y341" s="375"/>
      <c r="Z341" s="375"/>
      <c r="AA341" s="375"/>
      <c r="AB341" s="375"/>
      <c r="AC341" s="396"/>
      <c r="AD341" s="360"/>
      <c r="AE341" s="360"/>
      <c r="AF341" s="360"/>
      <c r="AG341" s="360"/>
      <c r="AH341" s="360"/>
      <c r="AI341" s="360"/>
    </row>
    <row r="342" spans="1:35" hidden="1" x14ac:dyDescent="0.25">
      <c r="A342" s="390"/>
      <c r="B342" s="369"/>
      <c r="C342" s="369"/>
      <c r="D342" s="378" t="s">
        <v>682</v>
      </c>
      <c r="E342" s="379">
        <v>8.4740000000000002</v>
      </c>
      <c r="F342" s="380">
        <v>7.7779999999999996</v>
      </c>
      <c r="G342" s="381">
        <v>9.1319999999999997</v>
      </c>
      <c r="H342" s="421">
        <v>2017</v>
      </c>
      <c r="I342" s="375">
        <v>9.1319999999999997</v>
      </c>
      <c r="J342" s="375"/>
      <c r="K342" s="375"/>
      <c r="L342" s="375">
        <f>Table148[[#This Row],[Ambitious target 2030]]+Table148[[#This Row],[Ambitious target 2030]]*0.5</f>
        <v>0</v>
      </c>
      <c r="M342" s="375"/>
      <c r="N342" s="375"/>
      <c r="O342" s="375"/>
      <c r="P342" s="375"/>
      <c r="Q342" s="375">
        <f>Table148[[#This Row],[Red target]]-Table148[[#This Row],[Red target]]*0.5</f>
        <v>0</v>
      </c>
      <c r="R342" s="375"/>
      <c r="S342" s="375"/>
      <c r="T342" s="375"/>
      <c r="U342" s="375"/>
      <c r="V342" s="375"/>
      <c r="W342" s="375"/>
      <c r="X342" s="375"/>
      <c r="Y342" s="375"/>
      <c r="Z342" s="375"/>
      <c r="AA342" s="375"/>
      <c r="AB342" s="375"/>
      <c r="AC342" s="396"/>
      <c r="AD342" s="360"/>
      <c r="AE342" s="360"/>
      <c r="AF342" s="360"/>
      <c r="AG342" s="360"/>
      <c r="AH342" s="360"/>
      <c r="AI342" s="360"/>
    </row>
    <row r="343" spans="1:35" hidden="1" x14ac:dyDescent="0.25">
      <c r="A343" s="390"/>
      <c r="B343" s="369"/>
      <c r="C343" s="369"/>
      <c r="D343" s="378" t="s">
        <v>832</v>
      </c>
      <c r="E343" s="379">
        <v>6.2329999999999997</v>
      </c>
      <c r="F343" s="380">
        <v>8.7780000000000005</v>
      </c>
      <c r="G343" s="381">
        <v>9.0090000000000003</v>
      </c>
      <c r="H343" s="421">
        <v>2017</v>
      </c>
      <c r="I343" s="375">
        <v>9.0090000000000003</v>
      </c>
      <c r="J343" s="375"/>
      <c r="K343" s="375"/>
      <c r="L343" s="375">
        <f>Table148[[#This Row],[Ambitious target 2030]]+Table148[[#This Row],[Ambitious target 2030]]*0.5</f>
        <v>0</v>
      </c>
      <c r="M343" s="375"/>
      <c r="N343" s="375"/>
      <c r="O343" s="375"/>
      <c r="P343" s="375"/>
      <c r="Q343" s="375">
        <f>Table148[[#This Row],[Red target]]-Table148[[#This Row],[Red target]]*0.5</f>
        <v>0</v>
      </c>
      <c r="R343" s="375"/>
      <c r="S343" s="375"/>
      <c r="T343" s="375"/>
      <c r="U343" s="375"/>
      <c r="V343" s="375"/>
      <c r="W343" s="375"/>
      <c r="X343" s="375"/>
      <c r="Y343" s="375"/>
      <c r="Z343" s="375"/>
      <c r="AA343" s="375"/>
      <c r="AB343" s="375"/>
      <c r="AC343" s="396"/>
      <c r="AD343" s="360"/>
      <c r="AE343" s="360"/>
      <c r="AF343" s="360"/>
      <c r="AG343" s="360"/>
      <c r="AH343" s="360"/>
      <c r="AI343" s="360"/>
    </row>
    <row r="344" spans="1:35" hidden="1" x14ac:dyDescent="0.25">
      <c r="A344" s="390"/>
      <c r="B344" s="369"/>
      <c r="C344" s="369"/>
      <c r="D344" s="378" t="s">
        <v>669</v>
      </c>
      <c r="E344" s="379">
        <v>4</v>
      </c>
      <c r="F344" s="380">
        <v>4</v>
      </c>
      <c r="G344" s="381">
        <v>6</v>
      </c>
      <c r="H344" s="421">
        <v>2017</v>
      </c>
      <c r="I344" s="375">
        <v>6</v>
      </c>
      <c r="J344" s="375"/>
      <c r="K344" s="375"/>
      <c r="L344" s="375">
        <f>Table148[[#This Row],[Ambitious target 2030]]+Table148[[#This Row],[Ambitious target 2030]]*0.5</f>
        <v>0</v>
      </c>
      <c r="M344" s="375"/>
      <c r="N344" s="375"/>
      <c r="O344" s="375"/>
      <c r="P344" s="375"/>
      <c r="Q344" s="375">
        <f>Table148[[#This Row],[Red target]]-Table148[[#This Row],[Red target]]*0.5</f>
        <v>0</v>
      </c>
      <c r="R344" s="375"/>
      <c r="S344" s="375"/>
      <c r="T344" s="375"/>
      <c r="U344" s="375"/>
      <c r="V344" s="375"/>
      <c r="W344" s="375"/>
      <c r="X344" s="375"/>
      <c r="Y344" s="375"/>
      <c r="Z344" s="375"/>
      <c r="AA344" s="375"/>
      <c r="AB344" s="375"/>
      <c r="AC344" s="396"/>
      <c r="AD344" s="360"/>
      <c r="AE344" s="360"/>
      <c r="AF344" s="360"/>
      <c r="AG344" s="360"/>
      <c r="AH344" s="360"/>
      <c r="AI344" s="360"/>
    </row>
    <row r="345" spans="1:35" hidden="1" x14ac:dyDescent="0.25">
      <c r="A345" s="390"/>
      <c r="B345" s="369"/>
      <c r="C345" s="369"/>
      <c r="D345" s="378" t="s">
        <v>772</v>
      </c>
      <c r="E345" s="382">
        <v>0.192</v>
      </c>
      <c r="F345" s="383">
        <v>-0.19700000000000001</v>
      </c>
      <c r="G345" s="384">
        <v>-0.57399999999999995</v>
      </c>
      <c r="H345" s="421">
        <v>2017</v>
      </c>
      <c r="I345" s="375">
        <v>-0.57399999999999995</v>
      </c>
      <c r="J345" s="375"/>
      <c r="K345" s="375"/>
      <c r="L345" s="375">
        <f>Table148[[#This Row],[Ambitious target 2030]]+Table148[[#This Row],[Ambitious target 2030]]*0.5</f>
        <v>0</v>
      </c>
      <c r="M345" s="375"/>
      <c r="N345" s="375"/>
      <c r="O345" s="375"/>
      <c r="P345" s="375"/>
      <c r="Q345" s="375">
        <f>Table148[[#This Row],[Red target]]-Table148[[#This Row],[Red target]]*0.5</f>
        <v>0</v>
      </c>
      <c r="R345" s="375"/>
      <c r="S345" s="375"/>
      <c r="T345" s="375"/>
      <c r="U345" s="375"/>
      <c r="V345" s="375"/>
      <c r="W345" s="375"/>
      <c r="X345" s="375"/>
      <c r="Y345" s="375"/>
      <c r="Z345" s="375"/>
      <c r="AA345" s="375"/>
      <c r="AB345" s="375"/>
      <c r="AC345" s="396"/>
      <c r="AD345" s="360"/>
      <c r="AE345" s="360"/>
      <c r="AF345" s="360"/>
      <c r="AG345" s="360"/>
      <c r="AH345" s="360"/>
      <c r="AI345" s="360"/>
    </row>
    <row r="346" spans="1:35" hidden="1" x14ac:dyDescent="0.25">
      <c r="A346" s="390"/>
      <c r="B346" s="369"/>
      <c r="C346" s="369"/>
      <c r="D346" s="378" t="s">
        <v>824</v>
      </c>
      <c r="E346" s="382">
        <v>-1</v>
      </c>
      <c r="F346" s="383">
        <v>-4</v>
      </c>
      <c r="G346" s="384">
        <v>-1</v>
      </c>
      <c r="H346" s="421">
        <v>2017</v>
      </c>
      <c r="I346" s="375">
        <v>-1</v>
      </c>
      <c r="J346" s="375"/>
      <c r="K346" s="375"/>
      <c r="L346" s="375">
        <f>Table148[[#This Row],[Ambitious target 2030]]+Table148[[#This Row],[Ambitious target 2030]]*0.5</f>
        <v>0</v>
      </c>
      <c r="M346" s="375"/>
      <c r="N346" s="375"/>
      <c r="O346" s="375"/>
      <c r="P346" s="375"/>
      <c r="Q346" s="375">
        <f>Table148[[#This Row],[Red target]]-Table148[[#This Row],[Red target]]*0.5</f>
        <v>0</v>
      </c>
      <c r="R346" s="375"/>
      <c r="S346" s="375"/>
      <c r="T346" s="375"/>
      <c r="U346" s="375"/>
      <c r="V346" s="375"/>
      <c r="W346" s="375"/>
      <c r="X346" s="375"/>
      <c r="Y346" s="375"/>
      <c r="Z346" s="375"/>
      <c r="AA346" s="375"/>
      <c r="AB346" s="375"/>
      <c r="AC346" s="396"/>
      <c r="AD346" s="360"/>
      <c r="AE346" s="360"/>
      <c r="AF346" s="360"/>
      <c r="AG346" s="360"/>
      <c r="AH346" s="360"/>
      <c r="AI346" s="360"/>
    </row>
    <row r="347" spans="1:35" hidden="1" x14ac:dyDescent="0.25">
      <c r="A347" s="390"/>
      <c r="B347" s="369"/>
      <c r="C347" s="369"/>
      <c r="D347" s="378" t="s">
        <v>720</v>
      </c>
      <c r="E347" s="382">
        <v>-2</v>
      </c>
      <c r="F347" s="383">
        <v>-3</v>
      </c>
      <c r="G347" s="384">
        <v>-5</v>
      </c>
      <c r="H347" s="421">
        <v>2017</v>
      </c>
      <c r="I347" s="375">
        <v>-5</v>
      </c>
      <c r="J347" s="375"/>
      <c r="K347" s="375"/>
      <c r="L347" s="375">
        <f>Table148[[#This Row],[Ambitious target 2030]]+Table148[[#This Row],[Ambitious target 2030]]*0.5</f>
        <v>0</v>
      </c>
      <c r="M347" s="375"/>
      <c r="N347" s="375"/>
      <c r="O347" s="375"/>
      <c r="P347" s="375"/>
      <c r="Q347" s="375">
        <f>Table148[[#This Row],[Red target]]-Table148[[#This Row],[Red target]]*0.5</f>
        <v>0</v>
      </c>
      <c r="R347" s="375"/>
      <c r="S347" s="375"/>
      <c r="T347" s="375"/>
      <c r="U347" s="375"/>
      <c r="V347" s="375"/>
      <c r="W347" s="375"/>
      <c r="X347" s="375"/>
      <c r="Y347" s="375"/>
      <c r="Z347" s="375"/>
      <c r="AA347" s="375"/>
      <c r="AB347" s="375"/>
      <c r="AC347" s="396"/>
      <c r="AD347" s="360"/>
      <c r="AE347" s="360"/>
      <c r="AF347" s="360"/>
      <c r="AG347" s="360"/>
      <c r="AH347" s="360"/>
      <c r="AI347" s="360"/>
    </row>
    <row r="348" spans="1:35" hidden="1" x14ac:dyDescent="0.25">
      <c r="A348" s="390"/>
      <c r="B348" s="369"/>
      <c r="C348" s="369"/>
      <c r="D348" s="378" t="s">
        <v>827</v>
      </c>
      <c r="E348" s="382">
        <v>-1</v>
      </c>
      <c r="F348" s="383">
        <v>-3</v>
      </c>
      <c r="G348" s="384">
        <v>-5</v>
      </c>
      <c r="H348" s="421">
        <v>2017</v>
      </c>
      <c r="I348" s="375">
        <v>-5</v>
      </c>
      <c r="J348" s="375"/>
      <c r="K348" s="375"/>
      <c r="L348" s="375">
        <f>Table148[[#This Row],[Ambitious target 2030]]+Table148[[#This Row],[Ambitious target 2030]]*0.5</f>
        <v>0</v>
      </c>
      <c r="M348" s="375"/>
      <c r="N348" s="375"/>
      <c r="O348" s="375"/>
      <c r="P348" s="375"/>
      <c r="Q348" s="375">
        <f>Table148[[#This Row],[Red target]]-Table148[[#This Row],[Red target]]*0.5</f>
        <v>0</v>
      </c>
      <c r="R348" s="375"/>
      <c r="S348" s="375"/>
      <c r="T348" s="375"/>
      <c r="U348" s="375"/>
      <c r="V348" s="375"/>
      <c r="W348" s="375"/>
      <c r="X348" s="375"/>
      <c r="Y348" s="375"/>
      <c r="Z348" s="375"/>
      <c r="AA348" s="375"/>
      <c r="AB348" s="375"/>
      <c r="AC348" s="396"/>
      <c r="AD348" s="360"/>
      <c r="AE348" s="360"/>
      <c r="AF348" s="360"/>
      <c r="AG348" s="360"/>
      <c r="AH348" s="360"/>
      <c r="AI348" s="360"/>
    </row>
    <row r="349" spans="1:35" hidden="1" x14ac:dyDescent="0.25">
      <c r="A349" s="390"/>
      <c r="B349" s="369"/>
      <c r="C349" s="369"/>
      <c r="D349" s="378" t="s">
        <v>833</v>
      </c>
      <c r="E349" s="382">
        <v>-5</v>
      </c>
      <c r="F349" s="383">
        <v>-7</v>
      </c>
      <c r="G349" s="384">
        <v>-6</v>
      </c>
      <c r="H349" s="421">
        <v>2017</v>
      </c>
      <c r="I349" s="375">
        <v>-6</v>
      </c>
      <c r="J349" s="375"/>
      <c r="K349" s="375"/>
      <c r="L349" s="375">
        <f>Table148[[#This Row],[Ambitious target 2030]]+Table148[[#This Row],[Ambitious target 2030]]*0.5</f>
        <v>0</v>
      </c>
      <c r="M349" s="375"/>
      <c r="N349" s="375"/>
      <c r="O349" s="375"/>
      <c r="P349" s="375"/>
      <c r="Q349" s="375">
        <f>Table148[[#This Row],[Red target]]-Table148[[#This Row],[Red target]]*0.5</f>
        <v>0</v>
      </c>
      <c r="R349" s="375"/>
      <c r="S349" s="375"/>
      <c r="T349" s="375"/>
      <c r="U349" s="375"/>
      <c r="V349" s="375"/>
      <c r="W349" s="375"/>
      <c r="X349" s="375"/>
      <c r="Y349" s="375"/>
      <c r="Z349" s="375"/>
      <c r="AA349" s="375"/>
      <c r="AB349" s="375"/>
      <c r="AC349" s="396"/>
      <c r="AD349" s="360"/>
      <c r="AE349" s="360"/>
      <c r="AF349" s="360"/>
      <c r="AG349" s="360"/>
      <c r="AH349" s="360"/>
      <c r="AI349" s="360"/>
    </row>
    <row r="350" spans="1:35" s="386" customFormat="1" hidden="1" x14ac:dyDescent="0.25">
      <c r="A350" s="409"/>
      <c r="B350" s="406"/>
      <c r="C350" s="406"/>
      <c r="D350" s="406"/>
      <c r="E350" s="407">
        <v>2012</v>
      </c>
      <c r="F350" s="407">
        <v>2013</v>
      </c>
      <c r="G350" s="407">
        <v>2014</v>
      </c>
      <c r="H350" s="407"/>
      <c r="I350" s="407"/>
      <c r="J350" s="407"/>
      <c r="K350" s="407"/>
      <c r="L350" s="407">
        <f>Table148[[#This Row],[Ambitious target 2030]]+Table148[[#This Row],[Ambitious target 2030]]*0.5</f>
        <v>0</v>
      </c>
      <c r="M350" s="407"/>
      <c r="N350" s="407"/>
      <c r="O350" s="407"/>
      <c r="P350" s="407"/>
      <c r="Q350" s="407">
        <f>Table148[[#This Row],[Red target]]-Table148[[#This Row],[Red target]]*0.5</f>
        <v>0</v>
      </c>
      <c r="R350" s="407"/>
      <c r="S350" s="407"/>
      <c r="T350" s="407"/>
      <c r="U350" s="407"/>
      <c r="V350" s="407"/>
      <c r="W350" s="407"/>
      <c r="X350" s="407"/>
      <c r="Y350" s="407"/>
      <c r="Z350" s="407"/>
      <c r="AA350" s="407"/>
      <c r="AB350" s="407"/>
      <c r="AC350" s="413"/>
    </row>
    <row r="351" spans="1:35" x14ac:dyDescent="0.25">
      <c r="A351" s="418" t="s">
        <v>608</v>
      </c>
      <c r="B351" s="438" t="s">
        <v>1136</v>
      </c>
      <c r="C351" s="437" t="s">
        <v>1137</v>
      </c>
      <c r="D351" s="436" t="s">
        <v>904</v>
      </c>
      <c r="E351" s="420">
        <v>393.01599270000003</v>
      </c>
      <c r="F351" s="420">
        <v>395.72497929999997</v>
      </c>
      <c r="G351" s="420">
        <v>397.5469769</v>
      </c>
      <c r="H351" s="421">
        <v>2014</v>
      </c>
      <c r="I351" s="421">
        <v>397.5469769</v>
      </c>
      <c r="J351" s="421">
        <v>2015</v>
      </c>
      <c r="K351" s="430">
        <v>403.03300000000002</v>
      </c>
      <c r="L351" s="430">
        <f>Table148[[#This Row],[Ambitious target 2030]]-Table148[[#This Row],[Ambitious target 2030]]*0.5</f>
        <v>208.8400294117647</v>
      </c>
      <c r="M351" s="430">
        <f>Table148[[#This Row],[Model reference value]]+((480-397)/85)*15</f>
        <v>417.68005882352941</v>
      </c>
      <c r="N351" s="430"/>
      <c r="O351" s="430">
        <f>Table148[[#This Row],[Model reference value]]+((580-403)/85)*15</f>
        <v>434.26829411764709</v>
      </c>
      <c r="P351" s="430">
        <f>Table148[[#This Row],[Model reference value]]+((650-403)/85)*15</f>
        <v>446.62123529411764</v>
      </c>
      <c r="Q351" s="430">
        <f>Table148[[#This Row],[Red target]]+Table148[[#This Row],[Red target]]*0.5</f>
        <v>688.4612647058824</v>
      </c>
      <c r="R351" s="430">
        <f>Table148[[#This Row],[Model reference value]]+((480-397)/85)*35</f>
        <v>437.20947058823532</v>
      </c>
      <c r="S351" s="430"/>
      <c r="T351" s="430">
        <f>Table148[[#This Row],[Model reference value]]+((580-403)/85)*35</f>
        <v>475.91535294117648</v>
      </c>
      <c r="U351" s="430">
        <f>Table148[[#This Row],[Model reference value]]+((650-403)/85)*35</f>
        <v>504.73888235294118</v>
      </c>
      <c r="V351" s="430">
        <v>480</v>
      </c>
      <c r="W351" s="430"/>
      <c r="X351" s="430">
        <v>580</v>
      </c>
      <c r="Y351" s="430">
        <v>650</v>
      </c>
      <c r="Z351" s="430">
        <f>Table148[[#This Row],[Model reference value]]+((720-403)/85)*15</f>
        <v>458.97417647058825</v>
      </c>
      <c r="AA351" s="430" t="s">
        <v>985</v>
      </c>
      <c r="AB351" s="430" t="s">
        <v>1197</v>
      </c>
      <c r="AC351" s="411"/>
      <c r="AD351" s="377" t="s">
        <v>873</v>
      </c>
      <c r="AE351" s="377" t="s">
        <v>874</v>
      </c>
      <c r="AF351" s="371" t="s">
        <v>1196</v>
      </c>
      <c r="AG351" s="360"/>
      <c r="AH351" s="360"/>
      <c r="AI351" s="360"/>
    </row>
    <row r="352" spans="1:35" hidden="1" x14ac:dyDescent="0.25">
      <c r="A352" s="390"/>
      <c r="B352" s="369"/>
      <c r="C352" s="369"/>
      <c r="D352" s="372"/>
      <c r="E352" s="379"/>
      <c r="F352" s="380"/>
      <c r="G352" s="381"/>
      <c r="H352" s="375"/>
      <c r="I352" s="375"/>
      <c r="J352" s="375"/>
      <c r="K352" s="375"/>
      <c r="L352" s="431">
        <f>Table148[[#This Row],[Ambitious target 2030]]+Table148[[#This Row],[Ambitious target 2030]]*0.5</f>
        <v>0</v>
      </c>
      <c r="M352" s="375"/>
      <c r="N352" s="375"/>
      <c r="O352" s="431"/>
      <c r="P352" s="431"/>
      <c r="Q352" s="431">
        <f>Table148[[#This Row],[Red target]]-Table148[[#This Row],[Red target]]*0.5</f>
        <v>0</v>
      </c>
      <c r="R352" s="431"/>
      <c r="S352" s="431"/>
      <c r="T352" s="431"/>
      <c r="U352" s="431"/>
      <c r="V352" s="431"/>
      <c r="W352" s="431"/>
      <c r="X352" s="431"/>
      <c r="Y352" s="431"/>
      <c r="Z352" s="431"/>
      <c r="AA352" s="375"/>
      <c r="AB352" s="375"/>
      <c r="AC352" s="396"/>
      <c r="AD352" s="377"/>
      <c r="AE352" s="377"/>
      <c r="AF352" s="360"/>
      <c r="AG352" s="360"/>
      <c r="AH352" s="360"/>
      <c r="AI352" s="360"/>
    </row>
    <row r="353" spans="1:35" hidden="1" x14ac:dyDescent="0.25">
      <c r="A353" s="390"/>
      <c r="B353" s="369"/>
      <c r="C353" s="369"/>
      <c r="D353" s="372"/>
      <c r="E353" s="379"/>
      <c r="F353" s="380"/>
      <c r="G353" s="381"/>
      <c r="H353" s="375"/>
      <c r="I353" s="375"/>
      <c r="J353" s="375"/>
      <c r="K353" s="375"/>
      <c r="L353" s="431">
        <f>Table148[[#This Row],[Ambitious target 2030]]+Table148[[#This Row],[Ambitious target 2030]]*0.5</f>
        <v>0</v>
      </c>
      <c r="M353" s="375"/>
      <c r="N353" s="375"/>
      <c r="O353" s="431"/>
      <c r="P353" s="431"/>
      <c r="Q353" s="431">
        <f>Table148[[#This Row],[Red target]]-Table148[[#This Row],[Red target]]*0.5</f>
        <v>0</v>
      </c>
      <c r="R353" s="431"/>
      <c r="S353" s="431"/>
      <c r="T353" s="431"/>
      <c r="U353" s="431"/>
      <c r="V353" s="431"/>
      <c r="W353" s="431"/>
      <c r="X353" s="431"/>
      <c r="Y353" s="431"/>
      <c r="Z353" s="431"/>
      <c r="AA353" s="375"/>
      <c r="AB353" s="375"/>
      <c r="AC353" s="396"/>
      <c r="AD353" s="377"/>
      <c r="AE353" s="377"/>
      <c r="AF353" s="360"/>
      <c r="AG353" s="360"/>
      <c r="AH353" s="360"/>
      <c r="AI353" s="360"/>
    </row>
    <row r="354" spans="1:35" hidden="1" x14ac:dyDescent="0.25">
      <c r="A354" s="390"/>
      <c r="B354" s="369"/>
      <c r="C354" s="369"/>
      <c r="D354" s="372"/>
      <c r="E354" s="379"/>
      <c r="F354" s="380"/>
      <c r="G354" s="381"/>
      <c r="H354" s="375"/>
      <c r="I354" s="375"/>
      <c r="J354" s="375"/>
      <c r="K354" s="375"/>
      <c r="L354" s="431">
        <f>Table148[[#This Row],[Ambitious target 2030]]+Table148[[#This Row],[Ambitious target 2030]]*0.5</f>
        <v>0</v>
      </c>
      <c r="M354" s="375"/>
      <c r="N354" s="375"/>
      <c r="O354" s="431"/>
      <c r="P354" s="431"/>
      <c r="Q354" s="431">
        <f>Table148[[#This Row],[Red target]]-Table148[[#This Row],[Red target]]*0.5</f>
        <v>0</v>
      </c>
      <c r="R354" s="431"/>
      <c r="S354" s="431"/>
      <c r="T354" s="431"/>
      <c r="U354" s="431"/>
      <c r="V354" s="431"/>
      <c r="W354" s="431"/>
      <c r="X354" s="431"/>
      <c r="Y354" s="431"/>
      <c r="Z354" s="431"/>
      <c r="AA354" s="375"/>
      <c r="AB354" s="375"/>
      <c r="AC354" s="396"/>
      <c r="AD354" s="377"/>
      <c r="AE354" s="377"/>
      <c r="AF354" s="360"/>
      <c r="AG354" s="360"/>
      <c r="AH354" s="360"/>
      <c r="AI354" s="360"/>
    </row>
    <row r="355" spans="1:35" hidden="1" x14ac:dyDescent="0.25">
      <c r="A355" s="390"/>
      <c r="B355" s="369"/>
      <c r="C355" s="369"/>
      <c r="D355" s="372"/>
      <c r="E355" s="379"/>
      <c r="F355" s="380"/>
      <c r="G355" s="381"/>
      <c r="H355" s="375"/>
      <c r="I355" s="375"/>
      <c r="J355" s="375"/>
      <c r="K355" s="375"/>
      <c r="L355" s="431">
        <f>Table148[[#This Row],[Ambitious target 2030]]+Table148[[#This Row],[Ambitious target 2030]]*0.5</f>
        <v>0</v>
      </c>
      <c r="M355" s="375"/>
      <c r="N355" s="375"/>
      <c r="O355" s="431"/>
      <c r="P355" s="431"/>
      <c r="Q355" s="431">
        <f>Table148[[#This Row],[Red target]]-Table148[[#This Row],[Red target]]*0.5</f>
        <v>0</v>
      </c>
      <c r="R355" s="431"/>
      <c r="S355" s="431"/>
      <c r="T355" s="431"/>
      <c r="U355" s="431"/>
      <c r="V355" s="431"/>
      <c r="W355" s="431"/>
      <c r="X355" s="431"/>
      <c r="Y355" s="431"/>
      <c r="Z355" s="431"/>
      <c r="AA355" s="375"/>
      <c r="AB355" s="375"/>
      <c r="AC355" s="396"/>
      <c r="AD355" s="377">
        <v>1</v>
      </c>
      <c r="AE355" s="377"/>
      <c r="AF355" s="360"/>
      <c r="AG355" s="360"/>
      <c r="AH355" s="360"/>
      <c r="AI355" s="360"/>
    </row>
    <row r="356" spans="1:35" hidden="1" x14ac:dyDescent="0.25">
      <c r="A356" s="390"/>
      <c r="B356" s="369"/>
      <c r="C356" s="369"/>
      <c r="D356" s="372"/>
      <c r="E356" s="379"/>
      <c r="F356" s="380"/>
      <c r="G356" s="381"/>
      <c r="H356" s="375"/>
      <c r="I356" s="375"/>
      <c r="J356" s="375"/>
      <c r="K356" s="375"/>
      <c r="L356" s="431">
        <f>Table148[[#This Row],[Ambitious target 2030]]+Table148[[#This Row],[Ambitious target 2030]]*0.5</f>
        <v>0</v>
      </c>
      <c r="M356" s="375"/>
      <c r="N356" s="375"/>
      <c r="O356" s="431"/>
      <c r="P356" s="431"/>
      <c r="Q356" s="431">
        <f>Table148[[#This Row],[Red target]]-Table148[[#This Row],[Red target]]*0.5</f>
        <v>0</v>
      </c>
      <c r="R356" s="431"/>
      <c r="S356" s="431"/>
      <c r="T356" s="431"/>
      <c r="U356" s="431"/>
      <c r="V356" s="431"/>
      <c r="W356" s="431"/>
      <c r="X356" s="431"/>
      <c r="Y356" s="431"/>
      <c r="Z356" s="431"/>
      <c r="AA356" s="375"/>
      <c r="AB356" s="375"/>
      <c r="AC356" s="396"/>
      <c r="AD356" s="377">
        <v>0.60641100000000003</v>
      </c>
      <c r="AE356" s="377"/>
      <c r="AF356" s="360">
        <f>1/0.606411</f>
        <v>1.6490466037060671</v>
      </c>
      <c r="AG356" s="360"/>
      <c r="AH356" s="360"/>
      <c r="AI356" s="360"/>
    </row>
    <row r="357" spans="1:35" hidden="1" x14ac:dyDescent="0.25">
      <c r="A357" s="390"/>
      <c r="B357" s="369"/>
      <c r="C357" s="369"/>
      <c r="D357" s="372"/>
      <c r="E357" s="382"/>
      <c r="F357" s="383"/>
      <c r="G357" s="384"/>
      <c r="H357" s="375"/>
      <c r="I357" s="375"/>
      <c r="J357" s="375"/>
      <c r="K357" s="375"/>
      <c r="L357" s="431">
        <f>Table148[[#This Row],[Ambitious target 2030]]+Table148[[#This Row],[Ambitious target 2030]]*0.5</f>
        <v>0</v>
      </c>
      <c r="M357" s="375"/>
      <c r="N357" s="375"/>
      <c r="O357" s="431"/>
      <c r="P357" s="431"/>
      <c r="Q357" s="431">
        <f>Table148[[#This Row],[Red target]]-Table148[[#This Row],[Red target]]*0.5</f>
        <v>0</v>
      </c>
      <c r="R357" s="431"/>
      <c r="S357" s="431"/>
      <c r="T357" s="431"/>
      <c r="U357" s="431"/>
      <c r="V357" s="431"/>
      <c r="W357" s="431"/>
      <c r="X357" s="431"/>
      <c r="Y357" s="431"/>
      <c r="Z357" s="431"/>
      <c r="AA357" s="375"/>
      <c r="AB357" s="375"/>
      <c r="AC357" s="396"/>
      <c r="AD357" s="377"/>
      <c r="AE357" s="377"/>
      <c r="AF357" s="360"/>
      <c r="AG357" s="360"/>
      <c r="AH357" s="360"/>
      <c r="AI357" s="360"/>
    </row>
    <row r="358" spans="1:35" hidden="1" x14ac:dyDescent="0.25">
      <c r="A358" s="390"/>
      <c r="B358" s="369"/>
      <c r="C358" s="369"/>
      <c r="D358" s="372"/>
      <c r="E358" s="382"/>
      <c r="F358" s="383"/>
      <c r="G358" s="384"/>
      <c r="H358" s="375"/>
      <c r="I358" s="375"/>
      <c r="J358" s="375"/>
      <c r="K358" s="375"/>
      <c r="L358" s="431">
        <f>Table148[[#This Row],[Ambitious target 2030]]+Table148[[#This Row],[Ambitious target 2030]]*0.5</f>
        <v>0</v>
      </c>
      <c r="M358" s="375"/>
      <c r="N358" s="375"/>
      <c r="O358" s="431"/>
      <c r="P358" s="431"/>
      <c r="Q358" s="431">
        <f>Table148[[#This Row],[Red target]]-Table148[[#This Row],[Red target]]*0.5</f>
        <v>0</v>
      </c>
      <c r="R358" s="431"/>
      <c r="S358" s="431"/>
      <c r="T358" s="431"/>
      <c r="U358" s="431"/>
      <c r="V358" s="431"/>
      <c r="W358" s="431"/>
      <c r="X358" s="431"/>
      <c r="Y358" s="431"/>
      <c r="Z358" s="431"/>
      <c r="AA358" s="375"/>
      <c r="AB358" s="375"/>
      <c r="AC358" s="396"/>
      <c r="AD358" s="377"/>
      <c r="AE358" s="377"/>
      <c r="AF358" s="360"/>
      <c r="AG358" s="360"/>
      <c r="AH358" s="360"/>
      <c r="AI358" s="360"/>
    </row>
    <row r="359" spans="1:35" hidden="1" x14ac:dyDescent="0.25">
      <c r="A359" s="390"/>
      <c r="B359" s="369"/>
      <c r="C359" s="369"/>
      <c r="D359" s="372"/>
      <c r="E359" s="382"/>
      <c r="F359" s="383"/>
      <c r="G359" s="384"/>
      <c r="H359" s="375"/>
      <c r="I359" s="375"/>
      <c r="J359" s="375"/>
      <c r="K359" s="375"/>
      <c r="L359" s="431">
        <f>Table148[[#This Row],[Ambitious target 2030]]+Table148[[#This Row],[Ambitious target 2030]]*0.5</f>
        <v>0</v>
      </c>
      <c r="M359" s="375"/>
      <c r="N359" s="375"/>
      <c r="O359" s="431"/>
      <c r="P359" s="431"/>
      <c r="Q359" s="431">
        <f>Table148[[#This Row],[Red target]]-Table148[[#This Row],[Red target]]*0.5</f>
        <v>0</v>
      </c>
      <c r="R359" s="431"/>
      <c r="S359" s="431"/>
      <c r="T359" s="431"/>
      <c r="U359" s="431"/>
      <c r="V359" s="431"/>
      <c r="W359" s="431"/>
      <c r="X359" s="431"/>
      <c r="Y359" s="431"/>
      <c r="Z359" s="431"/>
      <c r="AA359" s="375"/>
      <c r="AB359" s="375"/>
      <c r="AC359" s="396"/>
      <c r="AD359" s="377"/>
      <c r="AE359" s="377"/>
      <c r="AF359" s="360"/>
      <c r="AG359" s="360"/>
      <c r="AH359" s="360"/>
      <c r="AI359" s="360"/>
    </row>
    <row r="360" spans="1:35" hidden="1" x14ac:dyDescent="0.25">
      <c r="A360" s="390"/>
      <c r="B360" s="369"/>
      <c r="C360" s="369"/>
      <c r="D360" s="372"/>
      <c r="E360" s="382"/>
      <c r="F360" s="383"/>
      <c r="G360" s="384"/>
      <c r="H360" s="375"/>
      <c r="I360" s="375"/>
      <c r="J360" s="375"/>
      <c r="K360" s="375"/>
      <c r="L360" s="431">
        <f>Table148[[#This Row],[Ambitious target 2030]]+Table148[[#This Row],[Ambitious target 2030]]*0.5</f>
        <v>0</v>
      </c>
      <c r="M360" s="375"/>
      <c r="N360" s="375"/>
      <c r="O360" s="431"/>
      <c r="P360" s="431"/>
      <c r="Q360" s="431">
        <f>Table148[[#This Row],[Red target]]-Table148[[#This Row],[Red target]]*0.5</f>
        <v>0</v>
      </c>
      <c r="R360" s="431"/>
      <c r="S360" s="431"/>
      <c r="T360" s="431"/>
      <c r="U360" s="431"/>
      <c r="V360" s="431"/>
      <c r="W360" s="431"/>
      <c r="X360" s="431"/>
      <c r="Y360" s="431"/>
      <c r="Z360" s="431"/>
      <c r="AA360" s="375"/>
      <c r="AB360" s="375"/>
      <c r="AC360" s="396"/>
      <c r="AD360" s="377"/>
      <c r="AE360" s="377"/>
      <c r="AF360" s="360"/>
      <c r="AG360" s="360"/>
      <c r="AH360" s="360"/>
      <c r="AI360" s="360"/>
    </row>
    <row r="361" spans="1:35" hidden="1" x14ac:dyDescent="0.25">
      <c r="A361" s="390"/>
      <c r="B361" s="369"/>
      <c r="C361" s="369"/>
      <c r="D361" s="372"/>
      <c r="E361" s="382"/>
      <c r="F361" s="383"/>
      <c r="G361" s="384"/>
      <c r="H361" s="375"/>
      <c r="I361" s="375"/>
      <c r="J361" s="375"/>
      <c r="K361" s="375"/>
      <c r="L361" s="431">
        <f>Table148[[#This Row],[Ambitious target 2030]]+Table148[[#This Row],[Ambitious target 2030]]*0.5</f>
        <v>0</v>
      </c>
      <c r="M361" s="375"/>
      <c r="N361" s="375"/>
      <c r="O361" s="431"/>
      <c r="P361" s="431"/>
      <c r="Q361" s="431">
        <f>Table148[[#This Row],[Red target]]-Table148[[#This Row],[Red target]]*0.5</f>
        <v>0</v>
      </c>
      <c r="R361" s="431"/>
      <c r="S361" s="431"/>
      <c r="T361" s="431"/>
      <c r="U361" s="431"/>
      <c r="V361" s="431"/>
      <c r="W361" s="431"/>
      <c r="X361" s="431"/>
      <c r="Y361" s="431"/>
      <c r="Z361" s="431"/>
      <c r="AA361" s="375"/>
      <c r="AB361" s="375"/>
      <c r="AC361" s="396"/>
      <c r="AD361" s="377"/>
      <c r="AE361" s="377"/>
      <c r="AF361" s="360"/>
      <c r="AG361" s="360"/>
      <c r="AH361" s="360"/>
      <c r="AI361" s="360"/>
    </row>
    <row r="362" spans="1:35" hidden="1" x14ac:dyDescent="0.25">
      <c r="A362" s="409"/>
      <c r="B362" s="406"/>
      <c r="C362" s="406"/>
      <c r="D362" s="406"/>
      <c r="E362" s="407">
        <v>2015</v>
      </c>
      <c r="F362" s="407">
        <v>2016</v>
      </c>
      <c r="G362" s="407">
        <v>2017</v>
      </c>
      <c r="H362" s="407"/>
      <c r="I362" s="407"/>
      <c r="J362" s="407"/>
      <c r="K362" s="407"/>
      <c r="L362" s="407">
        <f>Table148[[#This Row],[Ambitious target 2030]]+Table148[[#This Row],[Ambitious target 2030]]*0.5</f>
        <v>0</v>
      </c>
      <c r="M362" s="407"/>
      <c r="N362" s="407"/>
      <c r="O362" s="407"/>
      <c r="P362" s="407"/>
      <c r="Q362" s="407">
        <f>Table148[[#This Row],[Red target]]-Table148[[#This Row],[Red target]]*0.5</f>
        <v>0</v>
      </c>
      <c r="R362" s="407"/>
      <c r="S362" s="407"/>
      <c r="T362" s="407"/>
      <c r="U362" s="407"/>
      <c r="V362" s="407"/>
      <c r="W362" s="407"/>
      <c r="X362" s="407"/>
      <c r="Y362" s="407"/>
      <c r="Z362" s="407"/>
      <c r="AA362" s="407"/>
      <c r="AB362" s="407"/>
      <c r="AC362" s="413"/>
      <c r="AD362" s="377"/>
      <c r="AE362" s="377"/>
      <c r="AF362" s="360"/>
      <c r="AG362" s="360"/>
      <c r="AH362" s="360"/>
      <c r="AI362" s="360"/>
    </row>
    <row r="363" spans="1:35" x14ac:dyDescent="0.25">
      <c r="A363" s="418" t="s">
        <v>1102</v>
      </c>
      <c r="B363" s="437" t="s">
        <v>1107</v>
      </c>
      <c r="C363" s="437" t="s">
        <v>1101</v>
      </c>
      <c r="D363" s="436" t="s">
        <v>904</v>
      </c>
      <c r="E363" s="420">
        <v>4211322924.72716</v>
      </c>
      <c r="F363" s="420">
        <v>3473456846.8239088</v>
      </c>
      <c r="G363" s="420">
        <v>3473456846.8239088</v>
      </c>
      <c r="H363" s="421">
        <v>2015</v>
      </c>
      <c r="I363" s="421">
        <v>4211322924.72716</v>
      </c>
      <c r="J363" s="421">
        <v>2015</v>
      </c>
      <c r="K363" s="411">
        <f>4.48117*1000000000</f>
        <v>4481170000</v>
      </c>
      <c r="L363" s="411">
        <f>Table148[[#This Row],[Ambitious target 2030]]-Table148[[#This Row],[Ambitious target 2030]]*0.5</f>
        <v>2000378389.2454009</v>
      </c>
      <c r="M363" s="421">
        <f>Table148[[#This Row],[Data reference value]]+Table148[[#This Row],[Data reference value]]*Table148[[#This Row],[Ambitious target improvement rate 2030]]</f>
        <v>4000756778.4908018</v>
      </c>
      <c r="N363" s="421">
        <v>-0.05</v>
      </c>
      <c r="O363" s="421">
        <f>(Table148[[#This Row],[Ambitious target 2030]]-Table148[[#This Row],[Model reference value]])*0.5+Table148[[#This Row],[Model reference value]]</f>
        <v>4240963389.2454009</v>
      </c>
      <c r="P363" s="421">
        <f>(Table148[[#This Row],[Ambitious target 2030]]-Table148[[#This Row],[Model reference value]])*0.25+Table148[[#This Row],[Model reference value]]</f>
        <v>4361066694.6227007</v>
      </c>
      <c r="Q363" s="421">
        <f>Table148[[#This Row],[Red target]]+Table148[[#This Row],[Red target]]*0.5</f>
        <v>6721755000</v>
      </c>
      <c r="R363" s="421">
        <f>Table148[[#This Row],[Data reference value]]+Table148[[#This Row],[Data reference value]]*Table148[[#This Row],[Ambitious target improvement rate 2050]]</f>
        <v>3369058339.7817278</v>
      </c>
      <c r="S363" s="421">
        <v>-0.2</v>
      </c>
      <c r="T363" s="421">
        <f>(Table148[[#This Row],[Ambitious target 2050]]-Table148[[#This Row],[Model reference value]])*0.5+Table148[[#This Row],[Model reference value]]</f>
        <v>3925114169.8908639</v>
      </c>
      <c r="U363" s="421">
        <f>(Table148[[#This Row],[Ambitious target 2050]]-Table148[[#This Row],[Model reference value]])*0.25+Table148[[#This Row],[Model reference value]]</f>
        <v>4203142084.9454317</v>
      </c>
      <c r="V363" s="421">
        <f>Table148[[#This Row],[Data reference value]]+Table148[[#This Row],[Data reference value]]*Table148[[#This Row],[Ambitious target improvement rate 2100]]</f>
        <v>2105661462.36358</v>
      </c>
      <c r="W363" s="421">
        <v>-0.5</v>
      </c>
      <c r="X363" s="421">
        <f>(Table148[[#This Row],[Ambitious target 2100]]-Table148[[#This Row],[Model reference value]])*0.5+Table148[[#This Row],[Model reference value]]</f>
        <v>3293415731.1817899</v>
      </c>
      <c r="Y363" s="421">
        <f>(Table148[[#This Row],[Ambitious target 2100]]-Table148[[#This Row],[Model reference value]])*0.25+Table148[[#This Row],[Model reference value]]</f>
        <v>3887292865.5908947</v>
      </c>
      <c r="Z363" s="421">
        <f>Table148[[#This Row],[Model reference value]]</f>
        <v>4481170000</v>
      </c>
      <c r="AA363" s="421" t="s">
        <v>1140</v>
      </c>
      <c r="AB363" s="421"/>
      <c r="AC363" s="371" t="s">
        <v>1103</v>
      </c>
      <c r="AD363" s="377"/>
      <c r="AE363" s="377"/>
      <c r="AF363" s="360"/>
      <c r="AG363" s="360"/>
      <c r="AH363" s="360"/>
      <c r="AI363" s="360"/>
    </row>
    <row r="364" spans="1:35" hidden="1" x14ac:dyDescent="0.25">
      <c r="A364" s="390"/>
      <c r="B364" s="369"/>
      <c r="C364" s="369"/>
      <c r="D364" s="369"/>
      <c r="E364" s="379"/>
      <c r="F364" s="380"/>
      <c r="G364" s="381"/>
      <c r="H364" s="421"/>
      <c r="I364" s="375"/>
      <c r="J364" s="375"/>
      <c r="K364" s="375"/>
      <c r="L364" s="375"/>
      <c r="M364" s="375"/>
      <c r="N364" s="375"/>
      <c r="O364" s="375"/>
      <c r="P364" s="375"/>
      <c r="Q364" s="375"/>
      <c r="R364" s="375"/>
      <c r="S364" s="375"/>
      <c r="T364" s="375"/>
      <c r="U364" s="375"/>
      <c r="V364" s="375"/>
      <c r="W364" s="375"/>
      <c r="X364" s="375"/>
      <c r="Y364" s="375"/>
      <c r="Z364" s="375"/>
      <c r="AA364" s="375"/>
      <c r="AB364" s="375"/>
      <c r="AC364" s="396"/>
      <c r="AD364" s="377"/>
      <c r="AE364" s="377"/>
      <c r="AF364" s="360"/>
      <c r="AG364" s="360"/>
      <c r="AH364" s="360"/>
      <c r="AI364" s="360"/>
    </row>
    <row r="365" spans="1:35" hidden="1" x14ac:dyDescent="0.25">
      <c r="A365" s="390"/>
      <c r="B365" s="369"/>
      <c r="C365" s="369"/>
      <c r="D365" s="369"/>
      <c r="E365" s="379"/>
      <c r="F365" s="380"/>
      <c r="G365" s="381"/>
      <c r="H365" s="421"/>
      <c r="I365" s="375"/>
      <c r="J365" s="375"/>
      <c r="K365" s="375"/>
      <c r="L365" s="375"/>
      <c r="M365" s="375"/>
      <c r="N365" s="375"/>
      <c r="O365" s="375"/>
      <c r="P365" s="375"/>
      <c r="Q365" s="375"/>
      <c r="R365" s="375"/>
      <c r="S365" s="375"/>
      <c r="T365" s="375"/>
      <c r="U365" s="375"/>
      <c r="V365" s="375"/>
      <c r="W365" s="375"/>
      <c r="X365" s="375"/>
      <c r="Y365" s="375"/>
      <c r="Z365" s="375"/>
      <c r="AA365" s="375"/>
      <c r="AB365" s="375"/>
      <c r="AC365" s="396"/>
      <c r="AD365" s="377"/>
      <c r="AE365" s="377"/>
      <c r="AF365" s="360"/>
      <c r="AG365" s="360"/>
      <c r="AH365" s="360"/>
      <c r="AI365" s="360"/>
    </row>
    <row r="366" spans="1:35" hidden="1" x14ac:dyDescent="0.25">
      <c r="A366" s="390"/>
      <c r="B366" s="369"/>
      <c r="C366" s="369"/>
      <c r="D366" s="369"/>
      <c r="E366" s="379"/>
      <c r="F366" s="380"/>
      <c r="G366" s="381"/>
      <c r="H366" s="421"/>
      <c r="I366" s="375"/>
      <c r="J366" s="375"/>
      <c r="K366" s="375"/>
      <c r="L366" s="375"/>
      <c r="M366" s="375"/>
      <c r="N366" s="375"/>
      <c r="O366" s="375"/>
      <c r="P366" s="375"/>
      <c r="Q366" s="375"/>
      <c r="R366" s="375"/>
      <c r="S366" s="375"/>
      <c r="T366" s="375"/>
      <c r="U366" s="375"/>
      <c r="V366" s="375"/>
      <c r="W366" s="375"/>
      <c r="X366" s="375"/>
      <c r="Y366" s="375"/>
      <c r="Z366" s="375"/>
      <c r="AA366" s="375"/>
      <c r="AB366" s="375"/>
      <c r="AC366" s="396"/>
      <c r="AD366" s="377"/>
      <c r="AE366" s="377"/>
      <c r="AF366" s="360"/>
      <c r="AG366" s="360"/>
      <c r="AH366" s="360"/>
      <c r="AI366" s="360"/>
    </row>
    <row r="367" spans="1:35" hidden="1" x14ac:dyDescent="0.25">
      <c r="A367" s="390"/>
      <c r="B367" s="369"/>
      <c r="C367" s="369"/>
      <c r="D367" s="369"/>
      <c r="E367" s="379"/>
      <c r="F367" s="380"/>
      <c r="G367" s="381"/>
      <c r="H367" s="421"/>
      <c r="I367" s="375"/>
      <c r="J367" s="375"/>
      <c r="K367" s="375"/>
      <c r="L367" s="375"/>
      <c r="M367" s="375"/>
      <c r="N367" s="375"/>
      <c r="O367" s="375"/>
      <c r="P367" s="375"/>
      <c r="Q367" s="375"/>
      <c r="R367" s="375"/>
      <c r="S367" s="375"/>
      <c r="T367" s="375"/>
      <c r="U367" s="375"/>
      <c r="V367" s="375"/>
      <c r="W367" s="375"/>
      <c r="X367" s="375"/>
      <c r="Y367" s="375"/>
      <c r="Z367" s="375"/>
      <c r="AA367" s="375"/>
      <c r="AB367" s="375"/>
      <c r="AC367" s="396"/>
      <c r="AD367" s="377"/>
      <c r="AE367" s="377"/>
      <c r="AF367" s="360"/>
      <c r="AG367" s="360"/>
      <c r="AH367" s="360"/>
      <c r="AI367" s="360"/>
    </row>
    <row r="368" spans="1:35" hidden="1" x14ac:dyDescent="0.25">
      <c r="A368" s="390"/>
      <c r="B368" s="369"/>
      <c r="C368" s="369"/>
      <c r="D368" s="369"/>
      <c r="E368" s="379"/>
      <c r="F368" s="380"/>
      <c r="G368" s="381"/>
      <c r="H368" s="421"/>
      <c r="I368" s="375"/>
      <c r="J368" s="375"/>
      <c r="K368" s="375"/>
      <c r="L368" s="375"/>
      <c r="M368" s="375"/>
      <c r="N368" s="375"/>
      <c r="O368" s="375"/>
      <c r="P368" s="375"/>
      <c r="Q368" s="375"/>
      <c r="R368" s="375"/>
      <c r="S368" s="375"/>
      <c r="T368" s="375"/>
      <c r="U368" s="375"/>
      <c r="V368" s="375"/>
      <c r="W368" s="375"/>
      <c r="X368" s="375"/>
      <c r="Y368" s="375"/>
      <c r="Z368" s="375"/>
      <c r="AA368" s="375"/>
      <c r="AB368" s="375"/>
      <c r="AC368" s="396"/>
      <c r="AD368" s="377"/>
      <c r="AE368" s="377"/>
      <c r="AF368" s="360"/>
      <c r="AG368" s="360"/>
      <c r="AH368" s="360"/>
      <c r="AI368" s="360"/>
    </row>
    <row r="369" spans="1:35" hidden="1" x14ac:dyDescent="0.25">
      <c r="A369" s="390"/>
      <c r="B369" s="369"/>
      <c r="C369" s="369"/>
      <c r="D369" s="369"/>
      <c r="E369" s="382"/>
      <c r="F369" s="383"/>
      <c r="G369" s="384"/>
      <c r="H369" s="421"/>
      <c r="I369" s="375"/>
      <c r="J369" s="375"/>
      <c r="K369" s="375"/>
      <c r="L369" s="375"/>
      <c r="M369" s="375"/>
      <c r="N369" s="375"/>
      <c r="O369" s="375"/>
      <c r="P369" s="375"/>
      <c r="Q369" s="375"/>
      <c r="R369" s="375"/>
      <c r="S369" s="375"/>
      <c r="T369" s="375"/>
      <c r="U369" s="375"/>
      <c r="V369" s="375"/>
      <c r="W369" s="375"/>
      <c r="X369" s="375"/>
      <c r="Y369" s="375"/>
      <c r="Z369" s="375"/>
      <c r="AA369" s="375"/>
      <c r="AB369" s="375"/>
      <c r="AC369" s="396"/>
      <c r="AD369" s="377"/>
      <c r="AE369" s="377"/>
      <c r="AF369" s="360"/>
      <c r="AG369" s="360"/>
      <c r="AH369" s="360"/>
      <c r="AI369" s="360"/>
    </row>
    <row r="370" spans="1:35" hidden="1" x14ac:dyDescent="0.25">
      <c r="A370" s="390"/>
      <c r="B370" s="369"/>
      <c r="C370" s="369"/>
      <c r="D370" s="369"/>
      <c r="E370" s="382"/>
      <c r="F370" s="383"/>
      <c r="G370" s="384"/>
      <c r="H370" s="421"/>
      <c r="I370" s="375"/>
      <c r="J370" s="375"/>
      <c r="K370" s="375"/>
      <c r="L370" s="375"/>
      <c r="M370" s="375"/>
      <c r="N370" s="375"/>
      <c r="O370" s="375"/>
      <c r="P370" s="375"/>
      <c r="Q370" s="375"/>
      <c r="R370" s="375"/>
      <c r="S370" s="375"/>
      <c r="T370" s="375"/>
      <c r="U370" s="375"/>
      <c r="V370" s="375"/>
      <c r="W370" s="375"/>
      <c r="X370" s="375"/>
      <c r="Y370" s="375"/>
      <c r="Z370" s="375"/>
      <c r="AA370" s="375"/>
      <c r="AB370" s="375"/>
      <c r="AC370" s="396"/>
      <c r="AD370" s="377"/>
      <c r="AE370" s="377"/>
      <c r="AF370" s="360"/>
      <c r="AG370" s="360"/>
      <c r="AH370" s="360"/>
      <c r="AI370" s="360"/>
    </row>
    <row r="371" spans="1:35" hidden="1" x14ac:dyDescent="0.25">
      <c r="A371" s="390"/>
      <c r="B371" s="369"/>
      <c r="C371" s="369"/>
      <c r="D371" s="369"/>
      <c r="E371" s="382"/>
      <c r="F371" s="383"/>
      <c r="G371" s="384"/>
      <c r="H371" s="421"/>
      <c r="I371" s="375"/>
      <c r="J371" s="375"/>
      <c r="K371" s="375"/>
      <c r="L371" s="375"/>
      <c r="M371" s="375"/>
      <c r="N371" s="375"/>
      <c r="O371" s="375"/>
      <c r="P371" s="375"/>
      <c r="Q371" s="375"/>
      <c r="R371" s="375"/>
      <c r="S371" s="375"/>
      <c r="T371" s="375"/>
      <c r="U371" s="375"/>
      <c r="V371" s="375"/>
      <c r="W371" s="375"/>
      <c r="X371" s="375"/>
      <c r="Y371" s="375"/>
      <c r="Z371" s="375"/>
      <c r="AA371" s="375"/>
      <c r="AB371" s="375"/>
      <c r="AC371" s="396"/>
      <c r="AD371" s="377"/>
      <c r="AE371" s="377"/>
      <c r="AF371" s="360"/>
      <c r="AG371" s="360"/>
      <c r="AH371" s="360"/>
      <c r="AI371" s="360"/>
    </row>
    <row r="372" spans="1:35" hidden="1" x14ac:dyDescent="0.25">
      <c r="A372" s="390"/>
      <c r="B372" s="369"/>
      <c r="C372" s="369"/>
      <c r="D372" s="369"/>
      <c r="E372" s="382"/>
      <c r="F372" s="383"/>
      <c r="G372" s="384"/>
      <c r="H372" s="421"/>
      <c r="I372" s="375"/>
      <c r="J372" s="375"/>
      <c r="K372" s="375"/>
      <c r="L372" s="375"/>
      <c r="M372" s="375"/>
      <c r="N372" s="375"/>
      <c r="O372" s="375"/>
      <c r="P372" s="375"/>
      <c r="Q372" s="375"/>
      <c r="R372" s="375"/>
      <c r="S372" s="375"/>
      <c r="T372" s="375"/>
      <c r="U372" s="375"/>
      <c r="V372" s="375"/>
      <c r="W372" s="375"/>
      <c r="X372" s="375"/>
      <c r="Y372" s="375"/>
      <c r="Z372" s="375"/>
      <c r="AA372" s="375"/>
      <c r="AB372" s="375"/>
      <c r="AC372" s="396"/>
      <c r="AD372" s="377"/>
      <c r="AE372" s="377"/>
      <c r="AF372" s="360"/>
      <c r="AG372" s="360"/>
      <c r="AH372" s="360"/>
      <c r="AI372" s="360"/>
    </row>
    <row r="373" spans="1:35" hidden="1" x14ac:dyDescent="0.25">
      <c r="A373" s="390"/>
      <c r="B373" s="369"/>
      <c r="C373" s="369"/>
      <c r="D373" s="369"/>
      <c r="E373" s="382"/>
      <c r="F373" s="383"/>
      <c r="G373" s="384"/>
      <c r="H373" s="421"/>
      <c r="I373" s="375"/>
      <c r="J373" s="375"/>
      <c r="K373" s="375"/>
      <c r="L373" s="375"/>
      <c r="M373" s="375"/>
      <c r="N373" s="375"/>
      <c r="O373" s="375"/>
      <c r="P373" s="375"/>
      <c r="Q373" s="375"/>
      <c r="R373" s="375"/>
      <c r="S373" s="375"/>
      <c r="T373" s="375"/>
      <c r="U373" s="375"/>
      <c r="V373" s="375"/>
      <c r="W373" s="375"/>
      <c r="X373" s="375"/>
      <c r="Y373" s="375"/>
      <c r="Z373" s="375"/>
      <c r="AA373" s="375"/>
      <c r="AB373" s="375"/>
      <c r="AC373" s="396"/>
      <c r="AD373" s="377"/>
      <c r="AE373" s="377"/>
      <c r="AF373" s="360"/>
      <c r="AG373" s="360"/>
      <c r="AH373" s="360"/>
      <c r="AI373" s="360"/>
    </row>
    <row r="374" spans="1:35" s="386" customFormat="1" hidden="1" x14ac:dyDescent="0.25">
      <c r="A374" s="409"/>
      <c r="B374" s="406"/>
      <c r="C374" s="406"/>
      <c r="D374" s="406"/>
      <c r="E374" s="407">
        <v>2015</v>
      </c>
      <c r="F374" s="407">
        <v>2016</v>
      </c>
      <c r="G374" s="407">
        <v>2017</v>
      </c>
      <c r="H374" s="407"/>
      <c r="I374" s="407"/>
      <c r="J374" s="407"/>
      <c r="K374" s="407"/>
      <c r="L374" s="407">
        <f>Table148[[#This Row],[Ambitious target 2030]]+Table148[[#This Row],[Ambitious target 2030]]*0.5</f>
        <v>0</v>
      </c>
      <c r="M374" s="407"/>
      <c r="N374" s="407"/>
      <c r="O374" s="407"/>
      <c r="P374" s="407"/>
      <c r="Q374" s="407">
        <f>Table148[[#This Row],[Red target]]-Table148[[#This Row],[Red target]]*0.5</f>
        <v>0</v>
      </c>
      <c r="R374" s="407"/>
      <c r="S374" s="407"/>
      <c r="T374" s="407"/>
      <c r="U374" s="407"/>
      <c r="V374" s="407"/>
      <c r="W374" s="407"/>
      <c r="X374" s="407"/>
      <c r="Y374" s="407"/>
      <c r="Z374" s="407"/>
      <c r="AA374" s="407"/>
      <c r="AB374" s="407"/>
      <c r="AC374" s="413"/>
    </row>
    <row r="375" spans="1:35" x14ac:dyDescent="0.25">
      <c r="A375" s="418" t="s">
        <v>640</v>
      </c>
      <c r="B375" s="437" t="s">
        <v>644</v>
      </c>
      <c r="C375" s="437" t="s">
        <v>645</v>
      </c>
      <c r="D375" s="436" t="s">
        <v>904</v>
      </c>
      <c r="E375" s="420">
        <v>0.57065564884860986</v>
      </c>
      <c r="F375" s="420">
        <v>0.46535993918845253</v>
      </c>
      <c r="G375" s="420">
        <v>0.46019101328446049</v>
      </c>
      <c r="H375" s="421">
        <v>2015</v>
      </c>
      <c r="I375" s="421">
        <v>0.57065564884860986</v>
      </c>
      <c r="J375" s="421">
        <v>2015</v>
      </c>
      <c r="K375" s="411">
        <v>0.65505500000000005</v>
      </c>
      <c r="L375" s="411">
        <f>Table148[[#This Row],[Ambitious target 2030]]-Table148[[#This Row],[Ambitious target 2030]]*0.5</f>
        <v>0.27106143320308967</v>
      </c>
      <c r="M375" s="421">
        <f>Table148[[#This Row],[Data reference value]]+Table148[[#This Row],[Data reference value]]*Table148[[#This Row],[Ambitious target improvement rate 2030]]</f>
        <v>0.54212286640617935</v>
      </c>
      <c r="N375" s="421">
        <v>-0.05</v>
      </c>
      <c r="O375" s="421">
        <f>(Table148[[#This Row],[Ambitious target 2030]]-Table148[[#This Row],[Model reference value]])*0.5+Table148[[#This Row],[Model reference value]]</f>
        <v>0.5985889332030897</v>
      </c>
      <c r="P375" s="421">
        <f>(Table148[[#This Row],[Ambitious target 2030]]-Table148[[#This Row],[Model reference value]])*0.25+Table148[[#This Row],[Model reference value]]</f>
        <v>0.62682196660154488</v>
      </c>
      <c r="Q375" s="421">
        <f>Table148[[#This Row],[Red target]]+Table148[[#This Row],[Red target]]*0.5</f>
        <v>0.98258250000000014</v>
      </c>
      <c r="R375" s="421">
        <f>Table148[[#This Row],[Data reference value]]+Table148[[#This Row],[Data reference value]]*Table148[[#This Row],[Ambitious target improvement rate 2050]]</f>
        <v>0.45652451907888791</v>
      </c>
      <c r="S375" s="421">
        <v>-0.2</v>
      </c>
      <c r="T375" s="421">
        <f>(Table148[[#This Row],[Ambitious target 2050]]-Table148[[#This Row],[Model reference value]])*0.5+Table148[[#This Row],[Model reference value]]</f>
        <v>0.55578975953944398</v>
      </c>
      <c r="U375" s="421">
        <f>(Table148[[#This Row],[Ambitious target 2050]]-Table148[[#This Row],[Model reference value]])*0.25+Table148[[#This Row],[Model reference value]]</f>
        <v>0.60542237976972202</v>
      </c>
      <c r="V375" s="421">
        <f>Table148[[#This Row],[Data reference value]]+Table148[[#This Row],[Data reference value]]*Table148[[#This Row],[Ambitious target improvement rate 2100]]</f>
        <v>0.28532782442430493</v>
      </c>
      <c r="W375" s="421">
        <v>-0.5</v>
      </c>
      <c r="X375" s="421">
        <f>(Table148[[#This Row],[Ambitious target 2100]]-Table148[[#This Row],[Model reference value]])*0.5+Table148[[#This Row],[Model reference value]]</f>
        <v>0.47019141221215249</v>
      </c>
      <c r="Y375" s="421">
        <f>(Table148[[#This Row],[Ambitious target 2100]]-Table148[[#This Row],[Model reference value]])*0.25+Table148[[#This Row],[Model reference value]]</f>
        <v>0.5626232061060763</v>
      </c>
      <c r="Z375" s="421">
        <f>Table148[[#This Row],[Model reference value]]</f>
        <v>0.65505500000000005</v>
      </c>
      <c r="AA375" s="421" t="s">
        <v>1140</v>
      </c>
      <c r="AB375" s="421" t="s">
        <v>1114</v>
      </c>
      <c r="AC375" s="371" t="s">
        <v>1103</v>
      </c>
      <c r="AD375" s="360"/>
      <c r="AE375" s="360"/>
      <c r="AF375" s="360"/>
      <c r="AG375" s="360"/>
      <c r="AH375" s="360"/>
      <c r="AI375" s="360"/>
    </row>
    <row r="376" spans="1:35" hidden="1" x14ac:dyDescent="0.25">
      <c r="A376" s="390"/>
      <c r="B376" s="369"/>
      <c r="C376" s="369"/>
      <c r="D376" s="369"/>
      <c r="E376" s="379"/>
      <c r="F376" s="380"/>
      <c r="G376" s="381"/>
      <c r="H376" s="421"/>
      <c r="I376" s="375"/>
      <c r="J376" s="375"/>
      <c r="K376" s="375"/>
      <c r="L376" s="375">
        <f>Table148[[#This Row],[Ambitious target 2030]]+Table148[[#This Row],[Ambitious target 2030]]*0.5</f>
        <v>0</v>
      </c>
      <c r="M376" s="375"/>
      <c r="N376" s="375"/>
      <c r="O376" s="375"/>
      <c r="P376" s="375"/>
      <c r="Q376" s="375">
        <f>Table148[[#This Row],[Red target]]-Table148[[#This Row],[Red target]]*0.5</f>
        <v>0</v>
      </c>
      <c r="R376" s="375"/>
      <c r="S376" s="375"/>
      <c r="T376" s="375"/>
      <c r="U376" s="375"/>
      <c r="V376" s="375"/>
      <c r="W376" s="375"/>
      <c r="X376" s="375"/>
      <c r="Y376" s="375"/>
      <c r="Z376" s="375"/>
      <c r="AA376" s="375"/>
      <c r="AB376" s="375"/>
      <c r="AC376" s="396"/>
      <c r="AD376" s="360"/>
      <c r="AE376" s="360"/>
      <c r="AF376" s="360"/>
      <c r="AG376" s="360"/>
      <c r="AH376" s="360"/>
      <c r="AI376" s="360"/>
    </row>
    <row r="377" spans="1:35" hidden="1" x14ac:dyDescent="0.25">
      <c r="A377" s="390"/>
      <c r="B377" s="369"/>
      <c r="C377" s="369"/>
      <c r="D377" s="369"/>
      <c r="E377" s="379"/>
      <c r="F377" s="380"/>
      <c r="G377" s="381"/>
      <c r="H377" s="421"/>
      <c r="I377" s="375"/>
      <c r="J377" s="375"/>
      <c r="K377" s="375"/>
      <c r="L377" s="375">
        <f>Table148[[#This Row],[Ambitious target 2030]]+Table148[[#This Row],[Ambitious target 2030]]*0.5</f>
        <v>0</v>
      </c>
      <c r="M377" s="375"/>
      <c r="N377" s="375"/>
      <c r="O377" s="375"/>
      <c r="P377" s="375"/>
      <c r="Q377" s="375">
        <f>Table148[[#This Row],[Red target]]-Table148[[#This Row],[Red target]]*0.5</f>
        <v>0</v>
      </c>
      <c r="R377" s="375"/>
      <c r="S377" s="375"/>
      <c r="T377" s="375"/>
      <c r="U377" s="375"/>
      <c r="V377" s="375"/>
      <c r="W377" s="375"/>
      <c r="X377" s="375"/>
      <c r="Y377" s="375"/>
      <c r="Z377" s="375"/>
      <c r="AA377" s="375"/>
      <c r="AB377" s="375"/>
      <c r="AC377" s="396"/>
      <c r="AD377" s="360"/>
      <c r="AE377" s="360"/>
      <c r="AF377" s="360"/>
      <c r="AG377" s="360"/>
      <c r="AH377" s="360"/>
      <c r="AI377" s="360"/>
    </row>
    <row r="378" spans="1:35" hidden="1" x14ac:dyDescent="0.25">
      <c r="A378" s="390"/>
      <c r="B378" s="369"/>
      <c r="C378" s="369"/>
      <c r="D378" s="369"/>
      <c r="E378" s="379"/>
      <c r="F378" s="380"/>
      <c r="G378" s="381"/>
      <c r="H378" s="421"/>
      <c r="I378" s="375"/>
      <c r="J378" s="375"/>
      <c r="K378" s="375"/>
      <c r="L378" s="375">
        <f>Table148[[#This Row],[Ambitious target 2030]]+Table148[[#This Row],[Ambitious target 2030]]*0.5</f>
        <v>0</v>
      </c>
      <c r="M378" s="375"/>
      <c r="N378" s="375"/>
      <c r="O378" s="375"/>
      <c r="P378" s="375"/>
      <c r="Q378" s="375">
        <f>Table148[[#This Row],[Red target]]-Table148[[#This Row],[Red target]]*0.5</f>
        <v>0</v>
      </c>
      <c r="R378" s="375"/>
      <c r="S378" s="375"/>
      <c r="T378" s="375"/>
      <c r="U378" s="375"/>
      <c r="V378" s="375"/>
      <c r="W378" s="375"/>
      <c r="X378" s="375"/>
      <c r="Y378" s="375"/>
      <c r="Z378" s="375"/>
      <c r="AA378" s="375"/>
      <c r="AB378" s="375"/>
      <c r="AC378" s="396"/>
      <c r="AD378" s="360"/>
      <c r="AE378" s="360"/>
      <c r="AF378" s="360"/>
      <c r="AG378" s="360"/>
      <c r="AH378" s="360"/>
      <c r="AI378" s="360"/>
    </row>
    <row r="379" spans="1:35" hidden="1" x14ac:dyDescent="0.25">
      <c r="A379" s="390"/>
      <c r="B379" s="369"/>
      <c r="C379" s="369"/>
      <c r="D379" s="369"/>
      <c r="E379" s="379"/>
      <c r="F379" s="380"/>
      <c r="G379" s="381"/>
      <c r="H379" s="421"/>
      <c r="I379" s="375"/>
      <c r="J379" s="375"/>
      <c r="K379" s="375"/>
      <c r="L379" s="375">
        <f>Table148[[#This Row],[Ambitious target 2030]]+Table148[[#This Row],[Ambitious target 2030]]*0.5</f>
        <v>0</v>
      </c>
      <c r="M379" s="375"/>
      <c r="N379" s="375"/>
      <c r="O379" s="375"/>
      <c r="P379" s="375"/>
      <c r="Q379" s="375">
        <f>Table148[[#This Row],[Red target]]-Table148[[#This Row],[Red target]]*0.5</f>
        <v>0</v>
      </c>
      <c r="R379" s="375"/>
      <c r="S379" s="375"/>
      <c r="T379" s="375"/>
      <c r="U379" s="375"/>
      <c r="V379" s="375"/>
      <c r="W379" s="375"/>
      <c r="X379" s="375"/>
      <c r="Y379" s="375"/>
      <c r="Z379" s="375"/>
      <c r="AA379" s="375"/>
      <c r="AB379" s="375"/>
      <c r="AC379" s="396"/>
      <c r="AD379" s="360"/>
      <c r="AE379" s="360"/>
      <c r="AF379" s="360"/>
      <c r="AG379" s="360"/>
      <c r="AH379" s="360"/>
      <c r="AI379" s="360"/>
    </row>
    <row r="380" spans="1:35" hidden="1" x14ac:dyDescent="0.25">
      <c r="A380" s="390"/>
      <c r="B380" s="369"/>
      <c r="C380" s="369"/>
      <c r="D380" s="369"/>
      <c r="E380" s="379"/>
      <c r="F380" s="380"/>
      <c r="G380" s="381"/>
      <c r="H380" s="421"/>
      <c r="I380" s="375"/>
      <c r="J380" s="375"/>
      <c r="K380" s="375"/>
      <c r="L380" s="375">
        <f>Table148[[#This Row],[Ambitious target 2030]]+Table148[[#This Row],[Ambitious target 2030]]*0.5</f>
        <v>0</v>
      </c>
      <c r="M380" s="375"/>
      <c r="N380" s="375"/>
      <c r="O380" s="375"/>
      <c r="P380" s="375"/>
      <c r="Q380" s="375">
        <f>Table148[[#This Row],[Red target]]-Table148[[#This Row],[Red target]]*0.5</f>
        <v>0</v>
      </c>
      <c r="R380" s="375"/>
      <c r="S380" s="375"/>
      <c r="T380" s="375"/>
      <c r="U380" s="375"/>
      <c r="V380" s="375"/>
      <c r="W380" s="375"/>
      <c r="X380" s="375"/>
      <c r="Y380" s="375"/>
      <c r="Z380" s="375"/>
      <c r="AA380" s="375"/>
      <c r="AB380" s="375"/>
      <c r="AC380" s="396"/>
      <c r="AD380" s="360"/>
      <c r="AE380" s="360"/>
      <c r="AF380" s="360"/>
      <c r="AG380" s="360"/>
      <c r="AH380" s="360"/>
      <c r="AI380" s="360"/>
    </row>
    <row r="381" spans="1:35" hidden="1" x14ac:dyDescent="0.25">
      <c r="A381" s="390"/>
      <c r="B381" s="369"/>
      <c r="C381" s="369"/>
      <c r="D381" s="369"/>
      <c r="E381" s="382"/>
      <c r="F381" s="383"/>
      <c r="G381" s="384"/>
      <c r="H381" s="421"/>
      <c r="I381" s="375"/>
      <c r="J381" s="375"/>
      <c r="K381" s="375"/>
      <c r="L381" s="375">
        <f>Table148[[#This Row],[Ambitious target 2030]]+Table148[[#This Row],[Ambitious target 2030]]*0.5</f>
        <v>0</v>
      </c>
      <c r="M381" s="375"/>
      <c r="N381" s="375"/>
      <c r="O381" s="375"/>
      <c r="P381" s="375"/>
      <c r="Q381" s="375">
        <f>Table148[[#This Row],[Red target]]-Table148[[#This Row],[Red target]]*0.5</f>
        <v>0</v>
      </c>
      <c r="R381" s="375"/>
      <c r="S381" s="375"/>
      <c r="T381" s="375"/>
      <c r="U381" s="375"/>
      <c r="V381" s="375"/>
      <c r="W381" s="375"/>
      <c r="X381" s="375"/>
      <c r="Y381" s="375"/>
      <c r="Z381" s="375"/>
      <c r="AA381" s="375"/>
      <c r="AB381" s="375"/>
      <c r="AC381" s="396"/>
      <c r="AD381" s="360"/>
      <c r="AE381" s="360"/>
      <c r="AF381" s="360"/>
      <c r="AG381" s="360"/>
      <c r="AH381" s="360"/>
      <c r="AI381" s="360"/>
    </row>
    <row r="382" spans="1:35" hidden="1" x14ac:dyDescent="0.25">
      <c r="A382" s="390"/>
      <c r="B382" s="369"/>
      <c r="C382" s="369"/>
      <c r="D382" s="369"/>
      <c r="E382" s="382"/>
      <c r="F382" s="383"/>
      <c r="G382" s="384"/>
      <c r="H382" s="421"/>
      <c r="I382" s="375"/>
      <c r="J382" s="375"/>
      <c r="K382" s="375"/>
      <c r="L382" s="375">
        <f>Table148[[#This Row],[Ambitious target 2030]]+Table148[[#This Row],[Ambitious target 2030]]*0.5</f>
        <v>0</v>
      </c>
      <c r="M382" s="375"/>
      <c r="N382" s="375"/>
      <c r="O382" s="375"/>
      <c r="P382" s="375"/>
      <c r="Q382" s="375">
        <f>Table148[[#This Row],[Red target]]-Table148[[#This Row],[Red target]]*0.5</f>
        <v>0</v>
      </c>
      <c r="R382" s="375"/>
      <c r="S382" s="375"/>
      <c r="T382" s="375"/>
      <c r="U382" s="375"/>
      <c r="V382" s="375"/>
      <c r="W382" s="375"/>
      <c r="X382" s="375"/>
      <c r="Y382" s="375"/>
      <c r="Z382" s="375"/>
      <c r="AA382" s="375"/>
      <c r="AB382" s="375"/>
      <c r="AC382" s="396"/>
      <c r="AD382" s="360"/>
      <c r="AE382" s="360"/>
      <c r="AF382" s="360"/>
      <c r="AG382" s="360"/>
      <c r="AH382" s="360"/>
      <c r="AI382" s="360"/>
    </row>
    <row r="383" spans="1:35" hidden="1" x14ac:dyDescent="0.25">
      <c r="A383" s="390"/>
      <c r="B383" s="369"/>
      <c r="C383" s="369"/>
      <c r="D383" s="369"/>
      <c r="E383" s="382"/>
      <c r="F383" s="383"/>
      <c r="G383" s="384"/>
      <c r="H383" s="421"/>
      <c r="I383" s="375"/>
      <c r="J383" s="375"/>
      <c r="K383" s="375"/>
      <c r="L383" s="375">
        <f>Table148[[#This Row],[Ambitious target 2030]]+Table148[[#This Row],[Ambitious target 2030]]*0.5</f>
        <v>0</v>
      </c>
      <c r="M383" s="375"/>
      <c r="N383" s="375"/>
      <c r="O383" s="375"/>
      <c r="P383" s="375"/>
      <c r="Q383" s="375">
        <f>Table148[[#This Row],[Red target]]-Table148[[#This Row],[Red target]]*0.5</f>
        <v>0</v>
      </c>
      <c r="R383" s="375"/>
      <c r="S383" s="375"/>
      <c r="T383" s="375"/>
      <c r="U383" s="375"/>
      <c r="V383" s="375"/>
      <c r="W383" s="375"/>
      <c r="X383" s="375"/>
      <c r="Y383" s="375"/>
      <c r="Z383" s="375"/>
      <c r="AA383" s="375"/>
      <c r="AB383" s="375"/>
      <c r="AC383" s="396"/>
      <c r="AD383" s="360"/>
      <c r="AE383" s="360"/>
      <c r="AF383" s="360"/>
      <c r="AG383" s="360"/>
      <c r="AH383" s="360"/>
      <c r="AI383" s="360"/>
    </row>
    <row r="384" spans="1:35" hidden="1" x14ac:dyDescent="0.25">
      <c r="A384" s="390"/>
      <c r="B384" s="369"/>
      <c r="C384" s="369"/>
      <c r="D384" s="369"/>
      <c r="E384" s="382"/>
      <c r="F384" s="383"/>
      <c r="G384" s="384"/>
      <c r="H384" s="421"/>
      <c r="I384" s="375"/>
      <c r="J384" s="375"/>
      <c r="K384" s="375"/>
      <c r="L384" s="375">
        <f>Table148[[#This Row],[Ambitious target 2030]]+Table148[[#This Row],[Ambitious target 2030]]*0.5</f>
        <v>0</v>
      </c>
      <c r="M384" s="375"/>
      <c r="N384" s="375"/>
      <c r="O384" s="375"/>
      <c r="P384" s="375"/>
      <c r="Q384" s="375">
        <f>Table148[[#This Row],[Red target]]-Table148[[#This Row],[Red target]]*0.5</f>
        <v>0</v>
      </c>
      <c r="R384" s="375"/>
      <c r="S384" s="375"/>
      <c r="T384" s="375"/>
      <c r="U384" s="375"/>
      <c r="V384" s="375"/>
      <c r="W384" s="375"/>
      <c r="X384" s="375"/>
      <c r="Y384" s="375"/>
      <c r="Z384" s="375"/>
      <c r="AA384" s="375"/>
      <c r="AB384" s="375"/>
      <c r="AC384" s="396"/>
      <c r="AD384" s="360"/>
      <c r="AE384" s="360"/>
      <c r="AF384" s="360"/>
      <c r="AG384" s="360"/>
      <c r="AH384" s="360"/>
      <c r="AI384" s="360"/>
    </row>
    <row r="385" spans="1:35" hidden="1" x14ac:dyDescent="0.25">
      <c r="A385" s="390"/>
      <c r="B385" s="369"/>
      <c r="C385" s="369"/>
      <c r="D385" s="369"/>
      <c r="E385" s="382"/>
      <c r="F385" s="383"/>
      <c r="G385" s="384"/>
      <c r="H385" s="421"/>
      <c r="I385" s="375"/>
      <c r="J385" s="375"/>
      <c r="K385" s="375"/>
      <c r="L385" s="375">
        <f>Table148[[#This Row],[Ambitious target 2030]]+Table148[[#This Row],[Ambitious target 2030]]*0.5</f>
        <v>0</v>
      </c>
      <c r="M385" s="375"/>
      <c r="N385" s="375"/>
      <c r="O385" s="375"/>
      <c r="P385" s="375"/>
      <c r="Q385" s="375">
        <f>Table148[[#This Row],[Red target]]-Table148[[#This Row],[Red target]]*0.5</f>
        <v>0</v>
      </c>
      <c r="R385" s="375"/>
      <c r="S385" s="375"/>
      <c r="T385" s="375"/>
      <c r="U385" s="375"/>
      <c r="V385" s="375"/>
      <c r="W385" s="375"/>
      <c r="X385" s="375"/>
      <c r="Y385" s="375"/>
      <c r="Z385" s="375"/>
      <c r="AA385" s="375"/>
      <c r="AB385" s="375"/>
      <c r="AC385" s="396"/>
      <c r="AD385" s="360"/>
      <c r="AE385" s="360"/>
      <c r="AF385" s="360"/>
      <c r="AG385" s="360"/>
      <c r="AH385" s="360"/>
      <c r="AI385" s="360"/>
    </row>
    <row r="386" spans="1:35" s="386" customFormat="1" hidden="1" x14ac:dyDescent="0.25">
      <c r="A386" s="409"/>
      <c r="B386" s="406"/>
      <c r="C386" s="406"/>
      <c r="D386" s="406"/>
      <c r="E386" s="407">
        <v>2015</v>
      </c>
      <c r="F386" s="407">
        <v>2016</v>
      </c>
      <c r="G386" s="407">
        <v>2017</v>
      </c>
      <c r="H386" s="407"/>
      <c r="I386" s="407"/>
      <c r="J386" s="407"/>
      <c r="K386" s="407"/>
      <c r="L386" s="407">
        <f>Table148[[#This Row],[Ambitious target 2030]]+Table148[[#This Row],[Ambitious target 2030]]*0.5</f>
        <v>0</v>
      </c>
      <c r="M386" s="407"/>
      <c r="N386" s="407"/>
      <c r="O386" s="407"/>
      <c r="P386" s="407"/>
      <c r="Q386" s="407">
        <f>Table148[[#This Row],[Red target]]-Table148[[#This Row],[Red target]]*0.5</f>
        <v>0</v>
      </c>
      <c r="R386" s="407"/>
      <c r="S386" s="407"/>
      <c r="T386" s="407"/>
      <c r="U386" s="407"/>
      <c r="V386" s="407"/>
      <c r="W386" s="407"/>
      <c r="X386" s="407"/>
      <c r="Y386" s="407"/>
      <c r="Z386" s="407"/>
      <c r="AA386" s="407"/>
      <c r="AB386" s="407"/>
      <c r="AC386" s="413"/>
    </row>
    <row r="387" spans="1:35" x14ac:dyDescent="0.25">
      <c r="A387" s="418" t="s">
        <v>641</v>
      </c>
      <c r="B387" s="437" t="s">
        <v>1112</v>
      </c>
      <c r="C387" s="437" t="s">
        <v>645</v>
      </c>
      <c r="D387" s="436" t="s">
        <v>904</v>
      </c>
      <c r="E387" s="420">
        <v>0.7883381298190415</v>
      </c>
      <c r="F387" s="420">
        <v>0.78656058603811374</v>
      </c>
      <c r="G387" s="420">
        <v>0.79016088480322133</v>
      </c>
      <c r="H387" s="421">
        <v>2015</v>
      </c>
      <c r="I387" s="421">
        <v>0.7883381298190415</v>
      </c>
      <c r="J387" s="421">
        <v>2015</v>
      </c>
      <c r="K387" s="411">
        <v>0.94756200000000002</v>
      </c>
      <c r="L387" s="411">
        <f>Table148[[#This Row],[Ambitious target 2030]]-Table148[[#This Row],[Ambitious target 2030]]*0.5</f>
        <v>0.37446061166404471</v>
      </c>
      <c r="M387" s="421">
        <f>Table148[[#This Row],[Data reference value]]+Table148[[#This Row],[Data reference value]]*Table148[[#This Row],[Ambitious target improvement rate 2030]]</f>
        <v>0.74892122332808941</v>
      </c>
      <c r="N387" s="421">
        <v>-0.05</v>
      </c>
      <c r="O387" s="421">
        <f>(Table148[[#This Row],[Ambitious target 2030]]-Table148[[#This Row],[Model reference value]])*0.5+Table148[[#This Row],[Model reference value]]</f>
        <v>0.84824161166404477</v>
      </c>
      <c r="P387" s="421">
        <f>(Table148[[#This Row],[Ambitious target 2030]]-Table148[[#This Row],[Model reference value]])*0.25+Table148[[#This Row],[Model reference value]]</f>
        <v>0.89790180583202239</v>
      </c>
      <c r="Q387" s="421">
        <f>Table148[[#This Row],[Red target]]+Table148[[#This Row],[Red target]]*0.5</f>
        <v>1.421343</v>
      </c>
      <c r="R387" s="421">
        <f>Table148[[#This Row],[Data reference value]]+Table148[[#This Row],[Data reference value]]*Table148[[#This Row],[Ambitious target improvement rate 2050]]</f>
        <v>0.63067050385523316</v>
      </c>
      <c r="S387" s="421">
        <v>-0.2</v>
      </c>
      <c r="T387" s="421">
        <f>(Table148[[#This Row],[Ambitious target 2050]]-Table148[[#This Row],[Model reference value]])*0.5+Table148[[#This Row],[Model reference value]]</f>
        <v>0.78911625192761659</v>
      </c>
      <c r="U387" s="421">
        <f>(Table148[[#This Row],[Ambitious target 2050]]-Table148[[#This Row],[Model reference value]])*0.25+Table148[[#This Row],[Model reference value]]</f>
        <v>0.86833912596380824</v>
      </c>
      <c r="V387" s="421">
        <f>Table148[[#This Row],[Data reference value]]+Table148[[#This Row],[Data reference value]]*Table148[[#This Row],[Ambitious target improvement rate 2100]]</f>
        <v>0.39416906490952075</v>
      </c>
      <c r="W387" s="421">
        <v>-0.5</v>
      </c>
      <c r="X387" s="421">
        <f>(Table148[[#This Row],[Ambitious target 2100]]-Table148[[#This Row],[Model reference value]])*0.5+Table148[[#This Row],[Model reference value]]</f>
        <v>0.67086553245476033</v>
      </c>
      <c r="Y387" s="421">
        <f>(Table148[[#This Row],[Ambitious target 2100]]-Table148[[#This Row],[Model reference value]])*0.25+Table148[[#This Row],[Model reference value]]</f>
        <v>0.80921376622738017</v>
      </c>
      <c r="Z387" s="421">
        <f>Table148[[#This Row],[Model reference value]]</f>
        <v>0.94756200000000002</v>
      </c>
      <c r="AA387" s="421" t="s">
        <v>1140</v>
      </c>
      <c r="AB387" s="421" t="s">
        <v>1113</v>
      </c>
      <c r="AC387" s="371" t="s">
        <v>1103</v>
      </c>
      <c r="AD387" s="360"/>
      <c r="AE387" s="377" t="s">
        <v>932</v>
      </c>
      <c r="AF387" s="360"/>
      <c r="AG387" s="360"/>
      <c r="AH387" s="360"/>
      <c r="AI387" s="360"/>
    </row>
    <row r="388" spans="1:35" hidden="1" x14ac:dyDescent="0.25">
      <c r="A388" s="390"/>
      <c r="B388" s="369"/>
      <c r="C388" s="369"/>
      <c r="D388" s="369"/>
      <c r="E388" s="379"/>
      <c r="F388" s="380"/>
      <c r="G388" s="381"/>
      <c r="H388" s="421"/>
      <c r="I388" s="375"/>
      <c r="J388" s="375"/>
      <c r="K388" s="375"/>
      <c r="L388" s="375">
        <f>Table148[[#This Row],[Ambitious target 2030]]+Table148[[#This Row],[Ambitious target 2030]]*0.5</f>
        <v>0</v>
      </c>
      <c r="M388" s="375"/>
      <c r="N388" s="375"/>
      <c r="O388" s="375"/>
      <c r="P388" s="375"/>
      <c r="Q388" s="375">
        <f>Table148[[#This Row],[Red target]]-Table148[[#This Row],[Red target]]*0.5</f>
        <v>0</v>
      </c>
      <c r="R388" s="375"/>
      <c r="S388" s="375"/>
      <c r="T388" s="375"/>
      <c r="U388" s="375"/>
      <c r="V388" s="375"/>
      <c r="W388" s="375"/>
      <c r="X388" s="375"/>
      <c r="Y388" s="375"/>
      <c r="Z388" s="375"/>
      <c r="AA388" s="375"/>
      <c r="AB388" s="375"/>
      <c r="AC388" s="396"/>
      <c r="AD388" s="360"/>
      <c r="AE388" s="360"/>
      <c r="AF388" s="360"/>
      <c r="AG388" s="360"/>
      <c r="AH388" s="360"/>
      <c r="AI388" s="360"/>
    </row>
    <row r="389" spans="1:35" hidden="1" x14ac:dyDescent="0.25">
      <c r="A389" s="390"/>
      <c r="B389" s="369"/>
      <c r="C389" s="369"/>
      <c r="D389" s="369"/>
      <c r="E389" s="379"/>
      <c r="F389" s="380"/>
      <c r="G389" s="381"/>
      <c r="H389" s="421"/>
      <c r="I389" s="375"/>
      <c r="J389" s="375"/>
      <c r="K389" s="375"/>
      <c r="L389" s="375">
        <f>Table148[[#This Row],[Ambitious target 2030]]+Table148[[#This Row],[Ambitious target 2030]]*0.5</f>
        <v>0</v>
      </c>
      <c r="M389" s="375"/>
      <c r="N389" s="375"/>
      <c r="O389" s="375"/>
      <c r="P389" s="375"/>
      <c r="Q389" s="375">
        <f>Table148[[#This Row],[Red target]]-Table148[[#This Row],[Red target]]*0.5</f>
        <v>0</v>
      </c>
      <c r="R389" s="375"/>
      <c r="S389" s="375"/>
      <c r="T389" s="375"/>
      <c r="U389" s="375"/>
      <c r="V389" s="375"/>
      <c r="W389" s="375"/>
      <c r="X389" s="375"/>
      <c r="Y389" s="375"/>
      <c r="Z389" s="375"/>
      <c r="AA389" s="375"/>
      <c r="AB389" s="375"/>
      <c r="AC389" s="396"/>
      <c r="AD389" s="360"/>
      <c r="AE389" s="360"/>
      <c r="AF389" s="360"/>
      <c r="AG389" s="360"/>
      <c r="AH389" s="360"/>
      <c r="AI389" s="360"/>
    </row>
    <row r="390" spans="1:35" hidden="1" x14ac:dyDescent="0.25">
      <c r="A390" s="390"/>
      <c r="B390" s="369"/>
      <c r="C390" s="369"/>
      <c r="D390" s="369"/>
      <c r="E390" s="379"/>
      <c r="F390" s="380"/>
      <c r="G390" s="381"/>
      <c r="H390" s="421"/>
      <c r="I390" s="375"/>
      <c r="J390" s="375"/>
      <c r="K390" s="375"/>
      <c r="L390" s="375">
        <f>Table148[[#This Row],[Ambitious target 2030]]+Table148[[#This Row],[Ambitious target 2030]]*0.5</f>
        <v>0</v>
      </c>
      <c r="M390" s="375"/>
      <c r="N390" s="375"/>
      <c r="O390" s="375"/>
      <c r="P390" s="375"/>
      <c r="Q390" s="375">
        <f>Table148[[#This Row],[Red target]]-Table148[[#This Row],[Red target]]*0.5</f>
        <v>0</v>
      </c>
      <c r="R390" s="375"/>
      <c r="S390" s="375"/>
      <c r="T390" s="375"/>
      <c r="U390" s="375"/>
      <c r="V390" s="375"/>
      <c r="W390" s="375"/>
      <c r="X390" s="375"/>
      <c r="Y390" s="375"/>
      <c r="Z390" s="375"/>
      <c r="AA390" s="375"/>
      <c r="AB390" s="375"/>
      <c r="AC390" s="396"/>
      <c r="AD390" s="360"/>
      <c r="AE390" s="360"/>
      <c r="AF390" s="360"/>
      <c r="AG390" s="360"/>
      <c r="AH390" s="360"/>
      <c r="AI390" s="360"/>
    </row>
    <row r="391" spans="1:35" hidden="1" x14ac:dyDescent="0.25">
      <c r="A391" s="390"/>
      <c r="B391" s="369"/>
      <c r="C391" s="369"/>
      <c r="D391" s="369"/>
      <c r="E391" s="379"/>
      <c r="F391" s="380"/>
      <c r="G391" s="381"/>
      <c r="H391" s="421"/>
      <c r="I391" s="375"/>
      <c r="J391" s="375"/>
      <c r="K391" s="375"/>
      <c r="L391" s="375">
        <f>Table148[[#This Row],[Ambitious target 2030]]+Table148[[#This Row],[Ambitious target 2030]]*0.5</f>
        <v>0</v>
      </c>
      <c r="M391" s="375"/>
      <c r="N391" s="375"/>
      <c r="O391" s="375"/>
      <c r="P391" s="375"/>
      <c r="Q391" s="375">
        <f>Table148[[#This Row],[Red target]]-Table148[[#This Row],[Red target]]*0.5</f>
        <v>0</v>
      </c>
      <c r="R391" s="375"/>
      <c r="S391" s="375"/>
      <c r="T391" s="375"/>
      <c r="U391" s="375"/>
      <c r="V391" s="375"/>
      <c r="W391" s="375"/>
      <c r="X391" s="375"/>
      <c r="Y391" s="375"/>
      <c r="Z391" s="375"/>
      <c r="AA391" s="375"/>
      <c r="AB391" s="375"/>
      <c r="AC391" s="396"/>
      <c r="AD391" s="360"/>
      <c r="AE391" s="360"/>
      <c r="AF391" s="360"/>
      <c r="AG391" s="360"/>
      <c r="AH391" s="360"/>
      <c r="AI391" s="360"/>
    </row>
    <row r="392" spans="1:35" hidden="1" x14ac:dyDescent="0.25">
      <c r="A392" s="390"/>
      <c r="B392" s="369"/>
      <c r="C392" s="369"/>
      <c r="D392" s="369"/>
      <c r="E392" s="379"/>
      <c r="F392" s="380"/>
      <c r="G392" s="381"/>
      <c r="H392" s="421"/>
      <c r="I392" s="375"/>
      <c r="J392" s="375"/>
      <c r="K392" s="375"/>
      <c r="L392" s="375">
        <f>Table148[[#This Row],[Ambitious target 2030]]+Table148[[#This Row],[Ambitious target 2030]]*0.5</f>
        <v>0</v>
      </c>
      <c r="M392" s="375"/>
      <c r="N392" s="375"/>
      <c r="O392" s="375"/>
      <c r="P392" s="375"/>
      <c r="Q392" s="375">
        <f>Table148[[#This Row],[Red target]]-Table148[[#This Row],[Red target]]*0.5</f>
        <v>0</v>
      </c>
      <c r="R392" s="375"/>
      <c r="S392" s="375"/>
      <c r="T392" s="375"/>
      <c r="U392" s="375"/>
      <c r="V392" s="375"/>
      <c r="W392" s="375"/>
      <c r="X392" s="375"/>
      <c r="Y392" s="375"/>
      <c r="Z392" s="375"/>
      <c r="AA392" s="375"/>
      <c r="AB392" s="375"/>
      <c r="AC392" s="396"/>
      <c r="AD392" s="360"/>
      <c r="AE392" s="360"/>
      <c r="AF392" s="360"/>
      <c r="AG392" s="360"/>
      <c r="AH392" s="360"/>
      <c r="AI392" s="360"/>
    </row>
    <row r="393" spans="1:35" hidden="1" x14ac:dyDescent="0.25">
      <c r="A393" s="390"/>
      <c r="B393" s="369"/>
      <c r="C393" s="369"/>
      <c r="D393" s="369"/>
      <c r="E393" s="382"/>
      <c r="F393" s="383"/>
      <c r="G393" s="384"/>
      <c r="H393" s="421"/>
      <c r="I393" s="375"/>
      <c r="J393" s="375"/>
      <c r="K393" s="375"/>
      <c r="L393" s="375">
        <f>Table148[[#This Row],[Ambitious target 2030]]+Table148[[#This Row],[Ambitious target 2030]]*0.5</f>
        <v>0</v>
      </c>
      <c r="M393" s="375"/>
      <c r="N393" s="375"/>
      <c r="O393" s="375"/>
      <c r="P393" s="375"/>
      <c r="Q393" s="375">
        <f>Table148[[#This Row],[Red target]]-Table148[[#This Row],[Red target]]*0.5</f>
        <v>0</v>
      </c>
      <c r="R393" s="375"/>
      <c r="S393" s="375"/>
      <c r="T393" s="375"/>
      <c r="U393" s="375"/>
      <c r="V393" s="375"/>
      <c r="W393" s="375"/>
      <c r="X393" s="375"/>
      <c r="Y393" s="375"/>
      <c r="Z393" s="375"/>
      <c r="AA393" s="375"/>
      <c r="AB393" s="375"/>
      <c r="AC393" s="396"/>
      <c r="AD393" s="360"/>
      <c r="AE393" s="360"/>
      <c r="AF393" s="360"/>
      <c r="AG393" s="360"/>
      <c r="AH393" s="360"/>
      <c r="AI393" s="360"/>
    </row>
    <row r="394" spans="1:35" hidden="1" x14ac:dyDescent="0.25">
      <c r="A394" s="390"/>
      <c r="B394" s="369"/>
      <c r="C394" s="369"/>
      <c r="D394" s="369"/>
      <c r="E394" s="382"/>
      <c r="F394" s="383"/>
      <c r="G394" s="384"/>
      <c r="H394" s="421"/>
      <c r="I394" s="375"/>
      <c r="J394" s="375"/>
      <c r="K394" s="375"/>
      <c r="L394" s="375">
        <f>Table148[[#This Row],[Ambitious target 2030]]+Table148[[#This Row],[Ambitious target 2030]]*0.5</f>
        <v>0</v>
      </c>
      <c r="M394" s="375"/>
      <c r="N394" s="375"/>
      <c r="O394" s="375"/>
      <c r="P394" s="375"/>
      <c r="Q394" s="375">
        <f>Table148[[#This Row],[Red target]]-Table148[[#This Row],[Red target]]*0.5</f>
        <v>0</v>
      </c>
      <c r="R394" s="375"/>
      <c r="S394" s="375"/>
      <c r="T394" s="375"/>
      <c r="U394" s="375"/>
      <c r="V394" s="375"/>
      <c r="W394" s="375"/>
      <c r="X394" s="375"/>
      <c r="Y394" s="375"/>
      <c r="Z394" s="375"/>
      <c r="AA394" s="375"/>
      <c r="AB394" s="375"/>
      <c r="AC394" s="396"/>
      <c r="AD394" s="360"/>
      <c r="AE394" s="360"/>
      <c r="AF394" s="360"/>
      <c r="AG394" s="360"/>
      <c r="AH394" s="360"/>
      <c r="AI394" s="360"/>
    </row>
    <row r="395" spans="1:35" hidden="1" x14ac:dyDescent="0.25">
      <c r="A395" s="390"/>
      <c r="B395" s="369"/>
      <c r="C395" s="369"/>
      <c r="D395" s="369"/>
      <c r="E395" s="382"/>
      <c r="F395" s="383"/>
      <c r="G395" s="384"/>
      <c r="H395" s="421"/>
      <c r="I395" s="375"/>
      <c r="J395" s="375"/>
      <c r="K395" s="375"/>
      <c r="L395" s="375">
        <f>Table148[[#This Row],[Ambitious target 2030]]+Table148[[#This Row],[Ambitious target 2030]]*0.5</f>
        <v>0</v>
      </c>
      <c r="M395" s="375"/>
      <c r="N395" s="375"/>
      <c r="O395" s="375"/>
      <c r="P395" s="375"/>
      <c r="Q395" s="375">
        <f>Table148[[#This Row],[Red target]]-Table148[[#This Row],[Red target]]*0.5</f>
        <v>0</v>
      </c>
      <c r="R395" s="375"/>
      <c r="S395" s="375"/>
      <c r="T395" s="375"/>
      <c r="U395" s="375"/>
      <c r="V395" s="375"/>
      <c r="W395" s="375"/>
      <c r="X395" s="375"/>
      <c r="Y395" s="375"/>
      <c r="Z395" s="375"/>
      <c r="AA395" s="375"/>
      <c r="AB395" s="375"/>
      <c r="AC395" s="396"/>
      <c r="AD395" s="360"/>
      <c r="AE395" s="360"/>
      <c r="AF395" s="360"/>
      <c r="AG395" s="360"/>
      <c r="AH395" s="360"/>
      <c r="AI395" s="360"/>
    </row>
    <row r="396" spans="1:35" hidden="1" x14ac:dyDescent="0.25">
      <c r="A396" s="390"/>
      <c r="B396" s="369"/>
      <c r="C396" s="369"/>
      <c r="D396" s="369"/>
      <c r="E396" s="382"/>
      <c r="F396" s="383"/>
      <c r="G396" s="384"/>
      <c r="H396" s="421"/>
      <c r="I396" s="375"/>
      <c r="J396" s="375"/>
      <c r="K396" s="375"/>
      <c r="L396" s="375">
        <f>Table148[[#This Row],[Ambitious target 2030]]+Table148[[#This Row],[Ambitious target 2030]]*0.5</f>
        <v>0</v>
      </c>
      <c r="M396" s="375"/>
      <c r="N396" s="375"/>
      <c r="O396" s="375"/>
      <c r="P396" s="375"/>
      <c r="Q396" s="375">
        <f>Table148[[#This Row],[Red target]]-Table148[[#This Row],[Red target]]*0.5</f>
        <v>0</v>
      </c>
      <c r="R396" s="375"/>
      <c r="S396" s="375"/>
      <c r="T396" s="375"/>
      <c r="U396" s="375"/>
      <c r="V396" s="375"/>
      <c r="W396" s="375"/>
      <c r="X396" s="375"/>
      <c r="Y396" s="375"/>
      <c r="Z396" s="375"/>
      <c r="AA396" s="375"/>
      <c r="AB396" s="375"/>
      <c r="AC396" s="396"/>
      <c r="AD396" s="360"/>
      <c r="AE396" s="360"/>
      <c r="AF396" s="360"/>
      <c r="AG396" s="360"/>
      <c r="AH396" s="360"/>
      <c r="AI396" s="360"/>
    </row>
    <row r="397" spans="1:35" hidden="1" x14ac:dyDescent="0.25">
      <c r="A397" s="390"/>
      <c r="B397" s="369"/>
      <c r="C397" s="369"/>
      <c r="D397" s="369"/>
      <c r="E397" s="382"/>
      <c r="F397" s="383"/>
      <c r="G397" s="384"/>
      <c r="H397" s="421"/>
      <c r="I397" s="375"/>
      <c r="J397" s="375"/>
      <c r="K397" s="375"/>
      <c r="L397" s="375">
        <f>Table148[[#This Row],[Ambitious target 2030]]+Table148[[#This Row],[Ambitious target 2030]]*0.5</f>
        <v>0</v>
      </c>
      <c r="M397" s="375"/>
      <c r="N397" s="375"/>
      <c r="O397" s="375"/>
      <c r="P397" s="375"/>
      <c r="Q397" s="375">
        <f>Table148[[#This Row],[Red target]]-Table148[[#This Row],[Red target]]*0.5</f>
        <v>0</v>
      </c>
      <c r="R397" s="375"/>
      <c r="S397" s="375"/>
      <c r="T397" s="375"/>
      <c r="U397" s="375"/>
      <c r="V397" s="375"/>
      <c r="W397" s="375"/>
      <c r="X397" s="375"/>
      <c r="Y397" s="375"/>
      <c r="Z397" s="375"/>
      <c r="AA397" s="375"/>
      <c r="AB397" s="375"/>
      <c r="AC397" s="396"/>
      <c r="AD397" s="360"/>
      <c r="AE397" s="360"/>
      <c r="AF397" s="360"/>
      <c r="AG397" s="360"/>
      <c r="AH397" s="360"/>
      <c r="AI397" s="360"/>
    </row>
    <row r="398" spans="1:35" hidden="1" x14ac:dyDescent="0.25">
      <c r="A398" s="409"/>
      <c r="B398" s="406"/>
      <c r="C398" s="406"/>
      <c r="D398" s="406"/>
      <c r="E398" s="407">
        <v>2015</v>
      </c>
      <c r="F398" s="407">
        <v>2016</v>
      </c>
      <c r="G398" s="407">
        <v>2017</v>
      </c>
      <c r="H398" s="407"/>
      <c r="I398" s="407"/>
      <c r="J398" s="407"/>
      <c r="K398" s="407"/>
      <c r="L398" s="407">
        <f>Table148[[#This Row],[Ambitious target 2030]]+Table148[[#This Row],[Ambitious target 2030]]*0.5</f>
        <v>0</v>
      </c>
      <c r="M398" s="407"/>
      <c r="N398" s="407"/>
      <c r="O398" s="407"/>
      <c r="P398" s="407"/>
      <c r="Q398" s="407">
        <f>Table148[[#This Row],[Red target]]-Table148[[#This Row],[Red target]]*0.5</f>
        <v>0</v>
      </c>
      <c r="R398" s="407"/>
      <c r="S398" s="407"/>
      <c r="T398" s="407"/>
      <c r="U398" s="407"/>
      <c r="V398" s="407"/>
      <c r="W398" s="407"/>
      <c r="X398" s="407"/>
      <c r="Y398" s="407"/>
      <c r="Z398" s="407"/>
      <c r="AA398" s="407"/>
      <c r="AB398" s="407"/>
      <c r="AC398" s="413"/>
      <c r="AD398" s="360"/>
      <c r="AE398" s="360"/>
      <c r="AF398" s="360"/>
      <c r="AG398" s="360"/>
      <c r="AH398" s="360"/>
      <c r="AI398" s="360"/>
    </row>
    <row r="399" spans="1:35" x14ac:dyDescent="0.25">
      <c r="A399" s="418" t="s">
        <v>1104</v>
      </c>
      <c r="B399" s="437" t="s">
        <v>1108</v>
      </c>
      <c r="C399" s="437" t="s">
        <v>1101</v>
      </c>
      <c r="D399" s="436" t="s">
        <v>904</v>
      </c>
      <c r="E399" s="420">
        <v>5817775475.0031729</v>
      </c>
      <c r="F399" s="420">
        <v>5870905557.0628424</v>
      </c>
      <c r="G399" s="420">
        <v>5964022886.5478907</v>
      </c>
      <c r="H399" s="421">
        <v>2015</v>
      </c>
      <c r="I399" s="421">
        <v>5817775475.0031729</v>
      </c>
      <c r="J399" s="421">
        <v>2015</v>
      </c>
      <c r="K399" s="411">
        <f>6.48219*1000000000</f>
        <v>6482190000</v>
      </c>
      <c r="L399" s="411">
        <f>Table148[[#This Row],[Ambitious target 2030]]-Table148[[#This Row],[Ambitious target 2030]]*0.5</f>
        <v>2763443350.6265073</v>
      </c>
      <c r="M399" s="421">
        <f>Table148[[#This Row],[Data reference value]]+Table148[[#This Row],[Data reference value]]*Table148[[#This Row],[Ambitious target improvement rate 2030]]</f>
        <v>5526886701.2530146</v>
      </c>
      <c r="N399" s="421">
        <v>-0.05</v>
      </c>
      <c r="O399" s="421">
        <f>(Table148[[#This Row],[Ambitious target 2030]]-Table148[[#This Row],[Model reference value]])*0.5+Table148[[#This Row],[Model reference value]]</f>
        <v>6004538350.6265068</v>
      </c>
      <c r="P399" s="421">
        <f>(Table148[[#This Row],[Ambitious target 2030]]-Table148[[#This Row],[Model reference value]])*0.25+Table148[[#This Row],[Model reference value]]</f>
        <v>6243364175.3132534</v>
      </c>
      <c r="Q399" s="421">
        <f>Table148[[#This Row],[Red target]]+Table148[[#This Row],[Red target]]*0.5</f>
        <v>9723285000</v>
      </c>
      <c r="R399" s="421">
        <f>Table148[[#This Row],[Data reference value]]+Table148[[#This Row],[Data reference value]]*Table148[[#This Row],[Ambitious target improvement rate 2050]]</f>
        <v>4654220380.0025387</v>
      </c>
      <c r="S399" s="421">
        <v>-0.2</v>
      </c>
      <c r="T399" s="421">
        <f>(Table148[[#This Row],[Ambitious target 2050]]-Table148[[#This Row],[Model reference value]])*0.5+Table148[[#This Row],[Model reference value]]</f>
        <v>5568205190.0012693</v>
      </c>
      <c r="U399" s="421">
        <f>(Table148[[#This Row],[Ambitious target 2050]]-Table148[[#This Row],[Model reference value]])*0.25+Table148[[#This Row],[Model reference value]]</f>
        <v>6025197595.0006351</v>
      </c>
      <c r="V399" s="421">
        <f>Table148[[#This Row],[Data reference value]]+Table148[[#This Row],[Data reference value]]*Table148[[#This Row],[Ambitious target improvement rate 2100]]</f>
        <v>2908887737.5015864</v>
      </c>
      <c r="W399" s="421">
        <v>-0.5</v>
      </c>
      <c r="X399" s="421">
        <f>(Table148[[#This Row],[Ambitious target 2100]]-Table148[[#This Row],[Model reference value]])*0.5+Table148[[#This Row],[Model reference value]]</f>
        <v>4695538868.7507935</v>
      </c>
      <c r="Y399" s="421">
        <f>(Table148[[#This Row],[Ambitious target 2100]]-Table148[[#This Row],[Model reference value]])*0.25+Table148[[#This Row],[Model reference value]]</f>
        <v>5588864434.3753967</v>
      </c>
      <c r="Z399" s="421">
        <f>Table148[[#This Row],[Model reference value]]</f>
        <v>6482190000</v>
      </c>
      <c r="AA399" s="421" t="s">
        <v>1140</v>
      </c>
      <c r="AB399" s="421"/>
      <c r="AC399" s="371" t="s">
        <v>1103</v>
      </c>
      <c r="AD399" s="360"/>
      <c r="AE399" s="360"/>
      <c r="AF399" s="360"/>
      <c r="AG399" s="360"/>
      <c r="AH399" s="360"/>
      <c r="AI399" s="360"/>
    </row>
    <row r="400" spans="1:35" hidden="1" x14ac:dyDescent="0.25">
      <c r="A400" s="390"/>
      <c r="B400" s="369"/>
      <c r="C400" s="369"/>
      <c r="D400" s="369"/>
      <c r="E400" s="379"/>
      <c r="F400" s="380"/>
      <c r="G400" s="381"/>
      <c r="H400" s="421"/>
      <c r="I400" s="375"/>
      <c r="J400" s="375"/>
      <c r="K400" s="375"/>
      <c r="L400" s="375"/>
      <c r="M400" s="375"/>
      <c r="N400" s="375"/>
      <c r="O400" s="375"/>
      <c r="P400" s="375"/>
      <c r="Q400" s="375"/>
      <c r="R400" s="375"/>
      <c r="S400" s="375"/>
      <c r="T400" s="375"/>
      <c r="U400" s="375"/>
      <c r="V400" s="375"/>
      <c r="W400" s="375"/>
      <c r="X400" s="375"/>
      <c r="Y400" s="375"/>
      <c r="Z400" s="375"/>
      <c r="AA400" s="375"/>
      <c r="AB400" s="375"/>
      <c r="AC400" s="396"/>
      <c r="AD400" s="360"/>
      <c r="AE400" s="360"/>
      <c r="AF400" s="360"/>
      <c r="AG400" s="360"/>
      <c r="AH400" s="360"/>
      <c r="AI400" s="360"/>
    </row>
    <row r="401" spans="1:35" hidden="1" x14ac:dyDescent="0.25">
      <c r="A401" s="390"/>
      <c r="B401" s="369"/>
      <c r="C401" s="369"/>
      <c r="D401" s="369"/>
      <c r="E401" s="379"/>
      <c r="F401" s="380"/>
      <c r="G401" s="381"/>
      <c r="H401" s="421"/>
      <c r="I401" s="375"/>
      <c r="J401" s="375"/>
      <c r="K401" s="375"/>
      <c r="L401" s="375"/>
      <c r="M401" s="375"/>
      <c r="N401" s="375"/>
      <c r="O401" s="375"/>
      <c r="P401" s="375"/>
      <c r="Q401" s="375"/>
      <c r="R401" s="375"/>
      <c r="S401" s="375"/>
      <c r="T401" s="375"/>
      <c r="U401" s="375"/>
      <c r="V401" s="375"/>
      <c r="W401" s="375"/>
      <c r="X401" s="375"/>
      <c r="Y401" s="375"/>
      <c r="Z401" s="375"/>
      <c r="AA401" s="375"/>
      <c r="AB401" s="375"/>
      <c r="AC401" s="396"/>
      <c r="AD401" s="360"/>
      <c r="AE401" s="360"/>
      <c r="AF401" s="360"/>
      <c r="AG401" s="360"/>
      <c r="AH401" s="360"/>
      <c r="AI401" s="360"/>
    </row>
    <row r="402" spans="1:35" hidden="1" x14ac:dyDescent="0.25">
      <c r="A402" s="390"/>
      <c r="B402" s="369"/>
      <c r="C402" s="369"/>
      <c r="D402" s="369"/>
      <c r="E402" s="379"/>
      <c r="F402" s="380"/>
      <c r="G402" s="381"/>
      <c r="H402" s="421"/>
      <c r="I402" s="375"/>
      <c r="J402" s="375"/>
      <c r="K402" s="375"/>
      <c r="L402" s="375"/>
      <c r="M402" s="375"/>
      <c r="N402" s="375"/>
      <c r="O402" s="375"/>
      <c r="P402" s="375"/>
      <c r="Q402" s="375"/>
      <c r="R402" s="375"/>
      <c r="S402" s="375"/>
      <c r="T402" s="375"/>
      <c r="U402" s="375"/>
      <c r="V402" s="375"/>
      <c r="W402" s="375"/>
      <c r="X402" s="375"/>
      <c r="Y402" s="375"/>
      <c r="Z402" s="375"/>
      <c r="AA402" s="375"/>
      <c r="AB402" s="375"/>
      <c r="AC402" s="396"/>
      <c r="AD402" s="360"/>
      <c r="AE402" s="360"/>
      <c r="AF402" s="360"/>
      <c r="AG402" s="360"/>
      <c r="AH402" s="360"/>
      <c r="AI402" s="360"/>
    </row>
    <row r="403" spans="1:35" hidden="1" x14ac:dyDescent="0.25">
      <c r="A403" s="390"/>
      <c r="B403" s="369"/>
      <c r="C403" s="369"/>
      <c r="D403" s="369"/>
      <c r="E403" s="379"/>
      <c r="F403" s="380"/>
      <c r="G403" s="381"/>
      <c r="H403" s="421"/>
      <c r="I403" s="375"/>
      <c r="J403" s="375"/>
      <c r="K403" s="375"/>
      <c r="L403" s="375"/>
      <c r="M403" s="375"/>
      <c r="N403" s="375"/>
      <c r="O403" s="375"/>
      <c r="P403" s="375"/>
      <c r="Q403" s="375"/>
      <c r="R403" s="375"/>
      <c r="S403" s="375"/>
      <c r="T403" s="375"/>
      <c r="U403" s="375"/>
      <c r="V403" s="375"/>
      <c r="W403" s="375"/>
      <c r="X403" s="375"/>
      <c r="Y403" s="375"/>
      <c r="Z403" s="375"/>
      <c r="AA403" s="375"/>
      <c r="AB403" s="375"/>
      <c r="AC403" s="396"/>
      <c r="AD403" s="360"/>
      <c r="AE403" s="360"/>
      <c r="AF403" s="360"/>
      <c r="AG403" s="360"/>
      <c r="AH403" s="360"/>
      <c r="AI403" s="360"/>
    </row>
    <row r="404" spans="1:35" hidden="1" x14ac:dyDescent="0.25">
      <c r="A404" s="390"/>
      <c r="B404" s="369"/>
      <c r="C404" s="369"/>
      <c r="D404" s="369"/>
      <c r="E404" s="379"/>
      <c r="F404" s="380"/>
      <c r="G404" s="381"/>
      <c r="H404" s="421"/>
      <c r="I404" s="375"/>
      <c r="J404" s="375"/>
      <c r="K404" s="375"/>
      <c r="L404" s="375"/>
      <c r="M404" s="375"/>
      <c r="N404" s="375"/>
      <c r="O404" s="375"/>
      <c r="P404" s="375"/>
      <c r="Q404" s="375"/>
      <c r="R404" s="375"/>
      <c r="S404" s="375"/>
      <c r="T404" s="375"/>
      <c r="U404" s="375"/>
      <c r="V404" s="375"/>
      <c r="W404" s="375"/>
      <c r="X404" s="375"/>
      <c r="Y404" s="375"/>
      <c r="Z404" s="375"/>
      <c r="AA404" s="375"/>
      <c r="AB404" s="375"/>
      <c r="AC404" s="396"/>
      <c r="AD404" s="360"/>
      <c r="AE404" s="360"/>
      <c r="AF404" s="360"/>
      <c r="AG404" s="360"/>
      <c r="AH404" s="360"/>
      <c r="AI404" s="360"/>
    </row>
    <row r="405" spans="1:35" hidden="1" x14ac:dyDescent="0.25">
      <c r="A405" s="390"/>
      <c r="B405" s="369"/>
      <c r="C405" s="369"/>
      <c r="D405" s="369"/>
      <c r="E405" s="382"/>
      <c r="F405" s="383"/>
      <c r="G405" s="384"/>
      <c r="H405" s="421"/>
      <c r="I405" s="375"/>
      <c r="J405" s="375"/>
      <c r="K405" s="375"/>
      <c r="L405" s="375"/>
      <c r="M405" s="375"/>
      <c r="N405" s="375"/>
      <c r="O405" s="375"/>
      <c r="P405" s="375"/>
      <c r="Q405" s="375"/>
      <c r="R405" s="375"/>
      <c r="S405" s="375"/>
      <c r="T405" s="375"/>
      <c r="U405" s="375"/>
      <c r="V405" s="375"/>
      <c r="W405" s="375"/>
      <c r="X405" s="375"/>
      <c r="Y405" s="375"/>
      <c r="Z405" s="375"/>
      <c r="AA405" s="375"/>
      <c r="AB405" s="375"/>
      <c r="AC405" s="396"/>
      <c r="AD405" s="360"/>
      <c r="AE405" s="360"/>
      <c r="AF405" s="360"/>
      <c r="AG405" s="360"/>
      <c r="AH405" s="360"/>
      <c r="AI405" s="360"/>
    </row>
    <row r="406" spans="1:35" hidden="1" x14ac:dyDescent="0.25">
      <c r="A406" s="390"/>
      <c r="B406" s="369"/>
      <c r="C406" s="369"/>
      <c r="D406" s="369"/>
      <c r="E406" s="382"/>
      <c r="F406" s="383"/>
      <c r="G406" s="384"/>
      <c r="H406" s="421"/>
      <c r="I406" s="375"/>
      <c r="J406" s="375"/>
      <c r="K406" s="375"/>
      <c r="L406" s="375"/>
      <c r="M406" s="375"/>
      <c r="N406" s="375"/>
      <c r="O406" s="375"/>
      <c r="P406" s="375"/>
      <c r="Q406" s="375"/>
      <c r="R406" s="375"/>
      <c r="S406" s="375"/>
      <c r="T406" s="375"/>
      <c r="U406" s="375"/>
      <c r="V406" s="375"/>
      <c r="W406" s="375"/>
      <c r="X406" s="375"/>
      <c r="Y406" s="375"/>
      <c r="Z406" s="375"/>
      <c r="AA406" s="375"/>
      <c r="AB406" s="375"/>
      <c r="AC406" s="396"/>
      <c r="AD406" s="360"/>
      <c r="AE406" s="360"/>
      <c r="AF406" s="360"/>
      <c r="AG406" s="360"/>
      <c r="AH406" s="360"/>
      <c r="AI406" s="360"/>
    </row>
    <row r="407" spans="1:35" hidden="1" x14ac:dyDescent="0.25">
      <c r="A407" s="390"/>
      <c r="B407" s="369"/>
      <c r="C407" s="369"/>
      <c r="D407" s="369"/>
      <c r="E407" s="382"/>
      <c r="F407" s="383"/>
      <c r="G407" s="384"/>
      <c r="H407" s="421"/>
      <c r="I407" s="375"/>
      <c r="J407" s="375"/>
      <c r="K407" s="375"/>
      <c r="L407" s="375"/>
      <c r="M407" s="375"/>
      <c r="N407" s="375"/>
      <c r="O407" s="375"/>
      <c r="P407" s="375"/>
      <c r="Q407" s="375"/>
      <c r="R407" s="375"/>
      <c r="S407" s="375"/>
      <c r="T407" s="375"/>
      <c r="U407" s="375"/>
      <c r="V407" s="375"/>
      <c r="W407" s="375"/>
      <c r="X407" s="375"/>
      <c r="Y407" s="375"/>
      <c r="Z407" s="375"/>
      <c r="AA407" s="375"/>
      <c r="AB407" s="375"/>
      <c r="AC407" s="396"/>
      <c r="AD407" s="360"/>
      <c r="AE407" s="360"/>
      <c r="AF407" s="360"/>
      <c r="AG407" s="360"/>
      <c r="AH407" s="360"/>
      <c r="AI407" s="360"/>
    </row>
    <row r="408" spans="1:35" hidden="1" x14ac:dyDescent="0.25">
      <c r="A408" s="390"/>
      <c r="B408" s="369"/>
      <c r="C408" s="369"/>
      <c r="D408" s="369"/>
      <c r="E408" s="382"/>
      <c r="F408" s="383"/>
      <c r="G408" s="384"/>
      <c r="H408" s="421"/>
      <c r="I408" s="375"/>
      <c r="J408" s="375"/>
      <c r="K408" s="375"/>
      <c r="L408" s="375"/>
      <c r="M408" s="375"/>
      <c r="N408" s="375"/>
      <c r="O408" s="375"/>
      <c r="P408" s="375"/>
      <c r="Q408" s="375"/>
      <c r="R408" s="375"/>
      <c r="S408" s="375"/>
      <c r="T408" s="375"/>
      <c r="U408" s="375"/>
      <c r="V408" s="375"/>
      <c r="W408" s="375"/>
      <c r="X408" s="375"/>
      <c r="Y408" s="375"/>
      <c r="Z408" s="375"/>
      <c r="AA408" s="375"/>
      <c r="AB408" s="375"/>
      <c r="AC408" s="396"/>
      <c r="AD408" s="360"/>
      <c r="AE408" s="360"/>
      <c r="AF408" s="360"/>
      <c r="AG408" s="360"/>
      <c r="AH408" s="360"/>
      <c r="AI408" s="360"/>
    </row>
    <row r="409" spans="1:35" hidden="1" x14ac:dyDescent="0.25">
      <c r="A409" s="390"/>
      <c r="B409" s="369"/>
      <c r="C409" s="369"/>
      <c r="D409" s="369"/>
      <c r="E409" s="382"/>
      <c r="F409" s="383"/>
      <c r="G409" s="384"/>
      <c r="H409" s="421"/>
      <c r="I409" s="375"/>
      <c r="J409" s="375"/>
      <c r="K409" s="375"/>
      <c r="L409" s="375"/>
      <c r="M409" s="375"/>
      <c r="N409" s="375"/>
      <c r="O409" s="375"/>
      <c r="P409" s="375"/>
      <c r="Q409" s="375"/>
      <c r="R409" s="375"/>
      <c r="S409" s="375"/>
      <c r="T409" s="375"/>
      <c r="U409" s="375"/>
      <c r="V409" s="375"/>
      <c r="W409" s="375"/>
      <c r="X409" s="375"/>
      <c r="Y409" s="375"/>
      <c r="Z409" s="375"/>
      <c r="AA409" s="375"/>
      <c r="AB409" s="375"/>
      <c r="AC409" s="396"/>
      <c r="AD409" s="360"/>
      <c r="AE409" s="360"/>
      <c r="AF409" s="360"/>
      <c r="AG409" s="360"/>
      <c r="AH409" s="360"/>
      <c r="AI409" s="360"/>
    </row>
    <row r="410" spans="1:35" s="386" customFormat="1" hidden="1" x14ac:dyDescent="0.25">
      <c r="A410" s="409"/>
      <c r="B410" s="406"/>
      <c r="C410" s="406"/>
      <c r="D410" s="406"/>
      <c r="E410" s="406">
        <v>2014</v>
      </c>
      <c r="F410" s="406">
        <v>2015</v>
      </c>
      <c r="G410" s="406">
        <v>2016</v>
      </c>
      <c r="H410" s="406"/>
      <c r="I410" s="406"/>
      <c r="J410" s="406"/>
      <c r="K410" s="406"/>
      <c r="L410" s="406">
        <f>Table148[[#This Row],[Ambitious target 2030]]+Table148[[#This Row],[Ambitious target 2030]]*0.5</f>
        <v>0</v>
      </c>
      <c r="M410" s="406"/>
      <c r="N410" s="406"/>
      <c r="O410" s="406"/>
      <c r="P410" s="406"/>
      <c r="Q410" s="406">
        <f>Table148[[#This Row],[Red target]]-Table148[[#This Row],[Red target]]*0.5</f>
        <v>0</v>
      </c>
      <c r="R410" s="406"/>
      <c r="S410" s="406"/>
      <c r="T410" s="406"/>
      <c r="U410" s="406"/>
      <c r="V410" s="406"/>
      <c r="W410" s="406"/>
      <c r="X410" s="406"/>
      <c r="Y410" s="406"/>
      <c r="Z410" s="406"/>
      <c r="AA410" s="406"/>
      <c r="AB410" s="406"/>
      <c r="AC410" s="413"/>
    </row>
    <row r="411" spans="1:35" x14ac:dyDescent="0.25">
      <c r="A411" s="418" t="s">
        <v>801</v>
      </c>
      <c r="B411" s="437" t="s">
        <v>800</v>
      </c>
      <c r="C411" s="437" t="s">
        <v>645</v>
      </c>
      <c r="D411" s="436" t="s">
        <v>904</v>
      </c>
      <c r="E411" s="420">
        <v>4.54</v>
      </c>
      <c r="F411" s="420">
        <v>4.5</v>
      </c>
      <c r="G411" s="420">
        <v>4.46</v>
      </c>
      <c r="H411" s="421">
        <v>2015</v>
      </c>
      <c r="I411" s="421">
        <v>4.54</v>
      </c>
      <c r="J411" s="421">
        <v>2015</v>
      </c>
      <c r="K411" s="411">
        <v>4.8656300000000003</v>
      </c>
      <c r="L411" s="411">
        <f>Table148[[#This Row],[Ambitious target 2030]]-Table148[[#This Row],[Ambitious target 2030]]*0.5</f>
        <v>2.1564999999999999</v>
      </c>
      <c r="M411" s="421">
        <f>Table148[[#This Row],[Data reference value]]+Table148[[#This Row],[Data reference value]]*Table148[[#This Row],[Ambitious target improvement rate 2030]]</f>
        <v>4.3129999999999997</v>
      </c>
      <c r="N411" s="421">
        <v>-0.05</v>
      </c>
      <c r="O411" s="421">
        <f>(Table148[[#This Row],[Ambitious target 2030]]-Table148[[#This Row],[Model reference value]])*0.5+Table148[[#This Row],[Model reference value]]</f>
        <v>4.589315</v>
      </c>
      <c r="P411" s="421">
        <f>(Table148[[#This Row],[Ambitious target 2030]]-Table148[[#This Row],[Model reference value]])*0.25+Table148[[#This Row],[Model reference value]]</f>
        <v>4.7274725000000002</v>
      </c>
      <c r="Q411" s="421">
        <f>Table148[[#This Row],[Red target]]+Table148[[#This Row],[Red target]]*0.5</f>
        <v>7.298445000000001</v>
      </c>
      <c r="R411" s="421">
        <f>Table148[[#This Row],[Data reference value]]+Table148[[#This Row],[Data reference value]]*Table148[[#This Row],[Ambitious target improvement rate 2050]]</f>
        <v>3.6320000000000001</v>
      </c>
      <c r="S411" s="421">
        <v>-0.2</v>
      </c>
      <c r="T411" s="421">
        <f>(Table148[[#This Row],[Ambitious target 2050]]-Table148[[#This Row],[Model reference value]])*0.5+Table148[[#This Row],[Model reference value]]</f>
        <v>4.2488150000000005</v>
      </c>
      <c r="U411" s="421">
        <f>(Table148[[#This Row],[Ambitious target 2050]]-Table148[[#This Row],[Model reference value]])*0.25+Table148[[#This Row],[Model reference value]]</f>
        <v>4.5572225</v>
      </c>
      <c r="V411" s="421">
        <f>Table148[[#This Row],[Data reference value]]+Table148[[#This Row],[Data reference value]]*Table148[[#This Row],[Ambitious target improvement rate 2100]]</f>
        <v>2.27</v>
      </c>
      <c r="W411" s="421">
        <v>-0.5</v>
      </c>
      <c r="X411" s="421">
        <f>(Table148[[#This Row],[Ambitious target 2100]]-Table148[[#This Row],[Model reference value]])*0.5+Table148[[#This Row],[Model reference value]]</f>
        <v>3.5678150000000004</v>
      </c>
      <c r="Y411" s="421">
        <f>(Table148[[#This Row],[Ambitious target 2100]]-Table148[[#This Row],[Model reference value]])*0.25+Table148[[#This Row],[Model reference value]]</f>
        <v>4.2167225000000004</v>
      </c>
      <c r="Z411" s="421">
        <f>Table148[[#This Row],[Model reference value]]</f>
        <v>4.8656300000000003</v>
      </c>
      <c r="AA411" s="421" t="s">
        <v>1140</v>
      </c>
      <c r="AB411" s="421"/>
      <c r="AC411" s="419" t="s">
        <v>803</v>
      </c>
      <c r="AD411" s="360"/>
      <c r="AE411" s="360"/>
      <c r="AF411" s="360"/>
      <c r="AG411" s="360"/>
      <c r="AH411" s="360"/>
      <c r="AI411" s="360"/>
    </row>
    <row r="412" spans="1:35" hidden="1" x14ac:dyDescent="0.25">
      <c r="A412" s="390"/>
      <c r="B412" s="369"/>
      <c r="C412" s="369"/>
      <c r="D412" s="369" t="s">
        <v>796</v>
      </c>
      <c r="E412" s="379">
        <v>15.86</v>
      </c>
      <c r="F412" s="380">
        <v>15.38</v>
      </c>
      <c r="G412" s="381">
        <v>15.02</v>
      </c>
      <c r="H412" s="421"/>
      <c r="I412" s="375"/>
      <c r="J412" s="375"/>
      <c r="K412" s="375"/>
      <c r="L412" s="375">
        <f>Table148[[#This Row],[Ambitious target 2030]]+Table148[[#This Row],[Ambitious target 2030]]*0.5</f>
        <v>0</v>
      </c>
      <c r="M412" s="375"/>
      <c r="N412" s="375"/>
      <c r="O412" s="375"/>
      <c r="P412" s="375"/>
      <c r="Q412" s="375">
        <f>Table148[[#This Row],[Red target]]-Table148[[#This Row],[Red target]]*0.5</f>
        <v>0</v>
      </c>
      <c r="R412" s="375"/>
      <c r="S412" s="375"/>
      <c r="T412" s="375"/>
      <c r="U412" s="375"/>
      <c r="V412" s="375"/>
      <c r="W412" s="375"/>
      <c r="X412" s="375"/>
      <c r="Y412" s="375"/>
      <c r="Z412" s="375"/>
      <c r="AA412" s="375"/>
      <c r="AB412" s="375"/>
      <c r="AC412" s="396"/>
      <c r="AD412" s="360"/>
      <c r="AE412" s="360"/>
      <c r="AF412" s="360"/>
      <c r="AG412" s="360"/>
      <c r="AH412" s="360"/>
      <c r="AI412" s="360"/>
    </row>
    <row r="413" spans="1:35" hidden="1" x14ac:dyDescent="0.25">
      <c r="A413" s="390"/>
      <c r="B413" s="369"/>
      <c r="C413" s="369"/>
      <c r="D413" s="369" t="s">
        <v>799</v>
      </c>
      <c r="E413" s="379">
        <v>9.26</v>
      </c>
      <c r="F413" s="380">
        <v>9.14</v>
      </c>
      <c r="G413" s="381">
        <v>9.0399999999999991</v>
      </c>
      <c r="H413" s="421"/>
      <c r="I413" s="375"/>
      <c r="J413" s="375"/>
      <c r="K413" s="375"/>
      <c r="L413" s="375">
        <f>Table148[[#This Row],[Ambitious target 2030]]+Table148[[#This Row],[Ambitious target 2030]]*0.5</f>
        <v>0</v>
      </c>
      <c r="M413" s="375"/>
      <c r="N413" s="375"/>
      <c r="O413" s="375"/>
      <c r="P413" s="375"/>
      <c r="Q413" s="375">
        <f>Table148[[#This Row],[Red target]]-Table148[[#This Row],[Red target]]*0.5</f>
        <v>0</v>
      </c>
      <c r="R413" s="375"/>
      <c r="S413" s="375"/>
      <c r="T413" s="375"/>
      <c r="U413" s="375"/>
      <c r="V413" s="375"/>
      <c r="W413" s="375"/>
      <c r="X413" s="375"/>
      <c r="Y413" s="375"/>
      <c r="Z413" s="375"/>
      <c r="AA413" s="375"/>
      <c r="AB413" s="375"/>
      <c r="AC413" s="396"/>
      <c r="AD413" s="360"/>
      <c r="AE413" s="360"/>
      <c r="AF413" s="360"/>
      <c r="AG413" s="360"/>
      <c r="AH413" s="360"/>
      <c r="AI413" s="360"/>
    </row>
    <row r="414" spans="1:35" hidden="1" x14ac:dyDescent="0.25">
      <c r="A414" s="390"/>
      <c r="B414" s="369"/>
      <c r="C414" s="369"/>
      <c r="D414" s="369" t="s">
        <v>797</v>
      </c>
      <c r="E414" s="379">
        <v>5.42</v>
      </c>
      <c r="F414" s="380">
        <v>5.52</v>
      </c>
      <c r="G414" s="381">
        <v>5.52</v>
      </c>
      <c r="H414" s="421"/>
      <c r="I414" s="375"/>
      <c r="J414" s="375"/>
      <c r="K414" s="375"/>
      <c r="L414" s="375">
        <f>Table148[[#This Row],[Ambitious target 2030]]+Table148[[#This Row],[Ambitious target 2030]]*0.5</f>
        <v>0</v>
      </c>
      <c r="M414" s="375"/>
      <c r="N414" s="375"/>
      <c r="O414" s="375"/>
      <c r="P414" s="375"/>
      <c r="Q414" s="375">
        <f>Table148[[#This Row],[Red target]]-Table148[[#This Row],[Red target]]*0.5</f>
        <v>0</v>
      </c>
      <c r="R414" s="375"/>
      <c r="S414" s="375"/>
      <c r="T414" s="375"/>
      <c r="U414" s="375"/>
      <c r="V414" s="375"/>
      <c r="W414" s="375"/>
      <c r="X414" s="375"/>
      <c r="Y414" s="375"/>
      <c r="Z414" s="375"/>
      <c r="AA414" s="375"/>
      <c r="AB414" s="375"/>
      <c r="AC414" s="396"/>
      <c r="AD414" s="360"/>
      <c r="AE414" s="360"/>
      <c r="AF414" s="360"/>
      <c r="AG414" s="360"/>
      <c r="AH414" s="360"/>
      <c r="AI414" s="360"/>
    </row>
    <row r="415" spans="1:35" hidden="1" x14ac:dyDescent="0.25">
      <c r="A415" s="390"/>
      <c r="B415" s="369"/>
      <c r="C415" s="369"/>
      <c r="D415" s="369" t="s">
        <v>795</v>
      </c>
      <c r="E415" s="379">
        <v>4.43</v>
      </c>
      <c r="F415" s="380">
        <v>4.37</v>
      </c>
      <c r="G415" s="381">
        <v>4.32</v>
      </c>
      <c r="H415" s="421"/>
      <c r="I415" s="375"/>
      <c r="J415" s="375"/>
      <c r="K415" s="375"/>
      <c r="L415" s="375">
        <f>Table148[[#This Row],[Ambitious target 2030]]+Table148[[#This Row],[Ambitious target 2030]]*0.5</f>
        <v>0</v>
      </c>
      <c r="M415" s="375"/>
      <c r="N415" s="375"/>
      <c r="O415" s="375"/>
      <c r="P415" s="375"/>
      <c r="Q415" s="375">
        <f>Table148[[#This Row],[Red target]]-Table148[[#This Row],[Red target]]*0.5</f>
        <v>0</v>
      </c>
      <c r="R415" s="375"/>
      <c r="S415" s="375"/>
      <c r="T415" s="375"/>
      <c r="U415" s="375"/>
      <c r="V415" s="375"/>
      <c r="W415" s="375"/>
      <c r="X415" s="375"/>
      <c r="Y415" s="375"/>
      <c r="Z415" s="375"/>
      <c r="AA415" s="375"/>
      <c r="AB415" s="375"/>
      <c r="AC415" s="396"/>
      <c r="AD415" s="360"/>
      <c r="AE415" s="360"/>
      <c r="AF415" s="360"/>
      <c r="AG415" s="360"/>
      <c r="AH415" s="360"/>
      <c r="AI415" s="360"/>
    </row>
    <row r="416" spans="1:35" hidden="1" x14ac:dyDescent="0.25">
      <c r="A416" s="390"/>
      <c r="B416" s="369"/>
      <c r="C416" s="369"/>
      <c r="D416" s="369" t="s">
        <v>794</v>
      </c>
      <c r="E416" s="379">
        <v>2.91</v>
      </c>
      <c r="F416" s="380">
        <v>2.89</v>
      </c>
      <c r="G416" s="381">
        <v>2.86</v>
      </c>
      <c r="H416" s="421"/>
      <c r="I416" s="375"/>
      <c r="J416" s="375"/>
      <c r="K416" s="375"/>
      <c r="L416" s="375">
        <f>Table148[[#This Row],[Ambitious target 2030]]+Table148[[#This Row],[Ambitious target 2030]]*0.5</f>
        <v>0</v>
      </c>
      <c r="M416" s="375"/>
      <c r="N416" s="375"/>
      <c r="O416" s="375"/>
      <c r="P416" s="375"/>
      <c r="Q416" s="375">
        <f>Table148[[#This Row],[Red target]]-Table148[[#This Row],[Red target]]*0.5</f>
        <v>0</v>
      </c>
      <c r="R416" s="375"/>
      <c r="S416" s="375"/>
      <c r="T416" s="375"/>
      <c r="U416" s="375"/>
      <c r="V416" s="375"/>
      <c r="W416" s="375"/>
      <c r="X416" s="375"/>
      <c r="Y416" s="375"/>
      <c r="Z416" s="375"/>
      <c r="AA416" s="375"/>
      <c r="AB416" s="375"/>
      <c r="AC416" s="396"/>
      <c r="AD416" s="360"/>
      <c r="AE416" s="360"/>
      <c r="AF416" s="360"/>
      <c r="AG416" s="360"/>
      <c r="AH416" s="360"/>
      <c r="AI416" s="360"/>
    </row>
    <row r="417" spans="1:35" hidden="1" x14ac:dyDescent="0.25">
      <c r="A417" s="390"/>
      <c r="B417" s="369"/>
      <c r="C417" s="369"/>
      <c r="D417" s="369" t="s">
        <v>789</v>
      </c>
      <c r="E417" s="382">
        <v>2.77</v>
      </c>
      <c r="F417" s="383">
        <v>1.43</v>
      </c>
      <c r="G417" s="384">
        <v>1.39</v>
      </c>
      <c r="H417" s="421"/>
      <c r="I417" s="375"/>
      <c r="J417" s="375"/>
      <c r="K417" s="375"/>
      <c r="L417" s="375">
        <f>Table148[[#This Row],[Ambitious target 2030]]+Table148[[#This Row],[Ambitious target 2030]]*0.5</f>
        <v>0</v>
      </c>
      <c r="M417" s="375"/>
      <c r="N417" s="375"/>
      <c r="O417" s="375"/>
      <c r="P417" s="375"/>
      <c r="Q417" s="375">
        <f>Table148[[#This Row],[Red target]]-Table148[[#This Row],[Red target]]*0.5</f>
        <v>0</v>
      </c>
      <c r="R417" s="375"/>
      <c r="S417" s="375"/>
      <c r="T417" s="375"/>
      <c r="U417" s="375"/>
      <c r="V417" s="375"/>
      <c r="W417" s="375"/>
      <c r="X417" s="375"/>
      <c r="Y417" s="375"/>
      <c r="Z417" s="375"/>
      <c r="AA417" s="375"/>
      <c r="AB417" s="375"/>
      <c r="AC417" s="396"/>
      <c r="AD417" s="360"/>
      <c r="AE417" s="360"/>
      <c r="AF417" s="360"/>
      <c r="AG417" s="360"/>
      <c r="AH417" s="360"/>
      <c r="AI417" s="360"/>
    </row>
    <row r="418" spans="1:35" hidden="1" x14ac:dyDescent="0.25">
      <c r="A418" s="390"/>
      <c r="B418" s="369"/>
      <c r="C418" s="369"/>
      <c r="D418" s="369" t="s">
        <v>793</v>
      </c>
      <c r="E418" s="382">
        <v>1.31</v>
      </c>
      <c r="F418" s="383">
        <v>1.31</v>
      </c>
      <c r="G418" s="384">
        <v>1.32</v>
      </c>
      <c r="H418" s="421"/>
      <c r="I418" s="375"/>
      <c r="J418" s="375"/>
      <c r="K418" s="375"/>
      <c r="L418" s="375">
        <f>Table148[[#This Row],[Ambitious target 2030]]+Table148[[#This Row],[Ambitious target 2030]]*0.5</f>
        <v>0</v>
      </c>
      <c r="M418" s="375"/>
      <c r="N418" s="375"/>
      <c r="O418" s="375"/>
      <c r="P418" s="375"/>
      <c r="Q418" s="375">
        <f>Table148[[#This Row],[Red target]]-Table148[[#This Row],[Red target]]*0.5</f>
        <v>0</v>
      </c>
      <c r="R418" s="375"/>
      <c r="S418" s="375"/>
      <c r="T418" s="375"/>
      <c r="U418" s="375"/>
      <c r="V418" s="375"/>
      <c r="W418" s="375"/>
      <c r="X418" s="375"/>
      <c r="Y418" s="375"/>
      <c r="Z418" s="375"/>
      <c r="AA418" s="375"/>
      <c r="AB418" s="375"/>
      <c r="AC418" s="396"/>
      <c r="AD418" s="360"/>
      <c r="AE418" s="360"/>
      <c r="AF418" s="360"/>
      <c r="AG418" s="360"/>
      <c r="AH418" s="360"/>
      <c r="AI418" s="360"/>
    </row>
    <row r="419" spans="1:35" hidden="1" x14ac:dyDescent="0.25">
      <c r="A419" s="390"/>
      <c r="B419" s="369"/>
      <c r="C419" s="369"/>
      <c r="D419" s="369" t="s">
        <v>791</v>
      </c>
      <c r="E419" s="382">
        <v>0.82</v>
      </c>
      <c r="F419" s="383">
        <v>0.83</v>
      </c>
      <c r="G419" s="384">
        <v>0.82</v>
      </c>
      <c r="H419" s="421"/>
      <c r="I419" s="375"/>
      <c r="J419" s="375"/>
      <c r="K419" s="375"/>
      <c r="L419" s="375">
        <f>Table148[[#This Row],[Ambitious target 2030]]+Table148[[#This Row],[Ambitious target 2030]]*0.5</f>
        <v>0</v>
      </c>
      <c r="M419" s="375"/>
      <c r="N419" s="375"/>
      <c r="O419" s="375"/>
      <c r="P419" s="375"/>
      <c r="Q419" s="375">
        <f>Table148[[#This Row],[Red target]]-Table148[[#This Row],[Red target]]*0.5</f>
        <v>0</v>
      </c>
      <c r="R419" s="375"/>
      <c r="S419" s="375"/>
      <c r="T419" s="375"/>
      <c r="U419" s="375"/>
      <c r="V419" s="375"/>
      <c r="W419" s="375"/>
      <c r="X419" s="375"/>
      <c r="Y419" s="375"/>
      <c r="Z419" s="375"/>
      <c r="AA419" s="375"/>
      <c r="AB419" s="375"/>
      <c r="AC419" s="396"/>
      <c r="AD419" s="360"/>
      <c r="AE419" s="360"/>
      <c r="AF419" s="360"/>
      <c r="AG419" s="360"/>
      <c r="AH419" s="360"/>
      <c r="AI419" s="360"/>
    </row>
    <row r="420" spans="1:35" hidden="1" x14ac:dyDescent="0.25">
      <c r="A420" s="390"/>
      <c r="B420" s="369"/>
      <c r="C420" s="369"/>
      <c r="D420" s="369" t="s">
        <v>790</v>
      </c>
      <c r="E420" s="382">
        <v>0.39</v>
      </c>
      <c r="F420" s="383">
        <v>0.37</v>
      </c>
      <c r="G420" s="384">
        <v>0.25</v>
      </c>
      <c r="H420" s="421"/>
      <c r="I420" s="375"/>
      <c r="J420" s="375"/>
      <c r="K420" s="375"/>
      <c r="L420" s="375">
        <f>Table148[[#This Row],[Ambitious target 2030]]+Table148[[#This Row],[Ambitious target 2030]]*0.5</f>
        <v>0</v>
      </c>
      <c r="M420" s="375"/>
      <c r="N420" s="375"/>
      <c r="O420" s="375"/>
      <c r="P420" s="375"/>
      <c r="Q420" s="375">
        <f>Table148[[#This Row],[Red target]]-Table148[[#This Row],[Red target]]*0.5</f>
        <v>0</v>
      </c>
      <c r="R420" s="375"/>
      <c r="S420" s="375"/>
      <c r="T420" s="375"/>
      <c r="U420" s="375"/>
      <c r="V420" s="375"/>
      <c r="W420" s="375"/>
      <c r="X420" s="375"/>
      <c r="Y420" s="375"/>
      <c r="Z420" s="375"/>
      <c r="AA420" s="375"/>
      <c r="AB420" s="375"/>
      <c r="AC420" s="396"/>
      <c r="AD420" s="360"/>
      <c r="AE420" s="360"/>
      <c r="AF420" s="360"/>
      <c r="AG420" s="360"/>
      <c r="AH420" s="360"/>
      <c r="AI420" s="360"/>
    </row>
    <row r="421" spans="1:35" hidden="1" x14ac:dyDescent="0.25">
      <c r="A421" s="390"/>
      <c r="B421" s="369"/>
      <c r="C421" s="369"/>
      <c r="D421" s="369" t="s">
        <v>798</v>
      </c>
      <c r="E421" s="382">
        <v>0.15</v>
      </c>
      <c r="F421" s="383">
        <v>0.16</v>
      </c>
      <c r="G421" s="384">
        <v>0.11</v>
      </c>
      <c r="H421" s="421"/>
      <c r="I421" s="375"/>
      <c r="J421" s="375"/>
      <c r="K421" s="375"/>
      <c r="L421" s="375">
        <f>Table148[[#This Row],[Ambitious target 2030]]+Table148[[#This Row],[Ambitious target 2030]]*0.5</f>
        <v>0</v>
      </c>
      <c r="M421" s="375"/>
      <c r="N421" s="375"/>
      <c r="O421" s="375"/>
      <c r="P421" s="375"/>
      <c r="Q421" s="375">
        <f>Table148[[#This Row],[Red target]]-Table148[[#This Row],[Red target]]*0.5</f>
        <v>0</v>
      </c>
      <c r="R421" s="375"/>
      <c r="S421" s="375"/>
      <c r="T421" s="375"/>
      <c r="U421" s="375"/>
      <c r="V421" s="375"/>
      <c r="W421" s="375"/>
      <c r="X421" s="375"/>
      <c r="Y421" s="375"/>
      <c r="Z421" s="375"/>
      <c r="AA421" s="375"/>
      <c r="AB421" s="375"/>
      <c r="AC421" s="396"/>
      <c r="AD421" s="360"/>
      <c r="AE421" s="360"/>
      <c r="AF421" s="360"/>
      <c r="AG421" s="360"/>
      <c r="AH421" s="360"/>
      <c r="AI421" s="360"/>
    </row>
    <row r="422" spans="1:35" s="386" customFormat="1" hidden="1" x14ac:dyDescent="0.25">
      <c r="A422" s="409"/>
      <c r="B422" s="406"/>
      <c r="C422" s="406"/>
      <c r="D422" s="406"/>
      <c r="E422" s="407">
        <v>2012</v>
      </c>
      <c r="F422" s="407">
        <v>2013</v>
      </c>
      <c r="G422" s="407">
        <v>2014</v>
      </c>
      <c r="H422" s="407"/>
      <c r="I422" s="407"/>
      <c r="J422" s="407"/>
      <c r="K422" s="407"/>
      <c r="L422" s="407">
        <f>Table148[[#This Row],[Ambitious target 2030]]+Table148[[#This Row],[Ambitious target 2030]]*0.5</f>
        <v>0</v>
      </c>
      <c r="M422" s="407"/>
      <c r="N422" s="407"/>
      <c r="O422" s="407"/>
      <c r="P422" s="407"/>
      <c r="Q422" s="407">
        <f>Table148[[#This Row],[Red target]]-Table148[[#This Row],[Red target]]*0.5</f>
        <v>0</v>
      </c>
      <c r="R422" s="407"/>
      <c r="S422" s="407"/>
      <c r="T422" s="407"/>
      <c r="U422" s="407"/>
      <c r="V422" s="407"/>
      <c r="W422" s="407"/>
      <c r="X422" s="407"/>
      <c r="Y422" s="407"/>
      <c r="Z422" s="407"/>
      <c r="AA422" s="407"/>
      <c r="AB422" s="407"/>
      <c r="AC422" s="413"/>
    </row>
    <row r="423" spans="1:35" x14ac:dyDescent="0.25">
      <c r="A423" s="418" t="s">
        <v>621</v>
      </c>
      <c r="B423" s="437" t="s">
        <v>657</v>
      </c>
      <c r="C423" s="437" t="s">
        <v>645</v>
      </c>
      <c r="D423" s="436" t="s">
        <v>904</v>
      </c>
      <c r="E423" s="420">
        <v>5.00593781609368</v>
      </c>
      <c r="F423" s="420">
        <v>4.99852018932752</v>
      </c>
      <c r="G423" s="420">
        <v>4.9816855938225997</v>
      </c>
      <c r="H423" s="421">
        <v>2014</v>
      </c>
      <c r="I423" s="421">
        <v>4.9816855938225997</v>
      </c>
      <c r="J423" s="421">
        <v>2015</v>
      </c>
      <c r="K423" s="411">
        <v>4.4921699999999998</v>
      </c>
      <c r="L423" s="411">
        <f>Table148[[#This Row],[Ambitious target 2030]]-Table148[[#This Row],[Ambitious target 2030]]*0.5</f>
        <v>1.7435899578379099</v>
      </c>
      <c r="M423" s="421">
        <f>Table148[[#This Row],[Data reference value]]+Table148[[#This Row],[Data reference value]]*Table148[[#This Row],[Ambitious target improvement rate 2030]]</f>
        <v>3.4871799156758199</v>
      </c>
      <c r="N423" s="421">
        <v>-0.3</v>
      </c>
      <c r="O423" s="421">
        <f>(Table148[[#This Row],[Ambitious target 2030]]-Table148[[#This Row],[Model reference value]])*0.5+Table148[[#This Row],[Model reference value]]</f>
        <v>3.9896749578379098</v>
      </c>
      <c r="P423" s="421">
        <f>(Table148[[#This Row],[Ambitious target 2030]]-Table148[[#This Row],[Model reference value]])*0.25+Table148[[#This Row],[Model reference value]]</f>
        <v>4.2409224789189546</v>
      </c>
      <c r="Q423" s="421">
        <f>Table148[[#This Row],[Red target]]+Table148[[#This Row],[Red target]]*0.5</f>
        <v>6.7382549999999997</v>
      </c>
      <c r="R423" s="421">
        <f>Table148[[#This Row],[Data reference value]]+Table148[[#This Row],[Data reference value]]*Table148[[#This Row],[Ambitious target improvement rate 2050]]</f>
        <v>2.4908427969112998</v>
      </c>
      <c r="S423" s="421">
        <v>-0.5</v>
      </c>
      <c r="T423" s="421">
        <f>(Table148[[#This Row],[Ambitious target 2050]]-Table148[[#This Row],[Model reference value]])*0.5+Table148[[#This Row],[Model reference value]]</f>
        <v>3.49150639845565</v>
      </c>
      <c r="U423" s="421">
        <f>(Table148[[#This Row],[Ambitious target 2050]]-Table148[[#This Row],[Model reference value]])*0.25+Table148[[#This Row],[Model reference value]]</f>
        <v>3.9918381992278249</v>
      </c>
      <c r="V423" s="421">
        <f>Table148[[#This Row],[Data reference value]]+Table148[[#This Row],[Data reference value]]*Table148[[#This Row],[Ambitious target improvement rate 2100]]</f>
        <v>1.4945056781467803</v>
      </c>
      <c r="W423" s="421">
        <v>-0.7</v>
      </c>
      <c r="X423" s="421">
        <f>(Table148[[#This Row],[Ambitious target 2100]]-Table148[[#This Row],[Model reference value]])*0.5+Table148[[#This Row],[Model reference value]]</f>
        <v>2.9933378390733898</v>
      </c>
      <c r="Y423" s="421">
        <f>(Table148[[#This Row],[Ambitious target 2100]]-Table148[[#This Row],[Model reference value]])*0.25+Table148[[#This Row],[Model reference value]]</f>
        <v>3.7427539195366948</v>
      </c>
      <c r="Z423" s="421">
        <f>Table148[[#This Row],[Model reference value]]</f>
        <v>4.4921699999999998</v>
      </c>
      <c r="AA423" s="421" t="s">
        <v>1140</v>
      </c>
      <c r="AB423" s="421"/>
      <c r="AC423" s="371" t="s">
        <v>1117</v>
      </c>
      <c r="AD423" s="360"/>
      <c r="AE423" s="360"/>
      <c r="AF423" s="360"/>
      <c r="AG423" s="360"/>
      <c r="AH423" s="360"/>
      <c r="AI423" s="360"/>
    </row>
    <row r="424" spans="1:35" hidden="1" x14ac:dyDescent="0.25">
      <c r="A424" s="390"/>
      <c r="B424" s="369"/>
      <c r="C424" s="369"/>
      <c r="D424" s="369"/>
      <c r="E424" s="379"/>
      <c r="F424" s="380"/>
      <c r="G424" s="381"/>
      <c r="H424" s="421"/>
      <c r="I424" s="375"/>
      <c r="J424" s="375"/>
      <c r="K424" s="375"/>
      <c r="L424" s="375">
        <f>Table148[[#This Row],[Ambitious target 2030]]+Table148[[#This Row],[Ambitious target 2030]]*0.5</f>
        <v>0</v>
      </c>
      <c r="M424" s="375"/>
      <c r="N424" s="375"/>
      <c r="O424" s="375"/>
      <c r="P424" s="375"/>
      <c r="Q424" s="375">
        <f>Table148[[#This Row],[Red target]]-Table148[[#This Row],[Red target]]*0.5</f>
        <v>0</v>
      </c>
      <c r="R424" s="375"/>
      <c r="S424" s="375"/>
      <c r="T424" s="375"/>
      <c r="U424" s="375"/>
      <c r="V424" s="375"/>
      <c r="W424" s="375"/>
      <c r="X424" s="375"/>
      <c r="Y424" s="375"/>
      <c r="Z424" s="375"/>
      <c r="AA424" s="375"/>
      <c r="AB424" s="375"/>
      <c r="AC424" s="396"/>
      <c r="AD424" s="360"/>
      <c r="AE424" s="360"/>
      <c r="AF424" s="360"/>
      <c r="AG424" s="360"/>
      <c r="AH424" s="360"/>
      <c r="AI424" s="360"/>
    </row>
    <row r="425" spans="1:35" hidden="1" x14ac:dyDescent="0.25">
      <c r="A425" s="390"/>
      <c r="B425" s="369"/>
      <c r="C425" s="369"/>
      <c r="D425" s="369"/>
      <c r="E425" s="379"/>
      <c r="F425" s="380"/>
      <c r="G425" s="381"/>
      <c r="H425" s="421"/>
      <c r="I425" s="375"/>
      <c r="J425" s="375"/>
      <c r="K425" s="375"/>
      <c r="L425" s="375">
        <f>Table148[[#This Row],[Ambitious target 2030]]+Table148[[#This Row],[Ambitious target 2030]]*0.5</f>
        <v>0</v>
      </c>
      <c r="M425" s="375"/>
      <c r="N425" s="375"/>
      <c r="O425" s="375"/>
      <c r="P425" s="375"/>
      <c r="Q425" s="375">
        <f>Table148[[#This Row],[Red target]]-Table148[[#This Row],[Red target]]*0.5</f>
        <v>0</v>
      </c>
      <c r="R425" s="375"/>
      <c r="S425" s="375"/>
      <c r="T425" s="375"/>
      <c r="U425" s="375"/>
      <c r="V425" s="375"/>
      <c r="W425" s="375"/>
      <c r="X425" s="375"/>
      <c r="Y425" s="375"/>
      <c r="Z425" s="375"/>
      <c r="AA425" s="375"/>
      <c r="AB425" s="375"/>
      <c r="AC425" s="396"/>
      <c r="AD425" s="360"/>
      <c r="AE425" s="360"/>
      <c r="AF425" s="360"/>
      <c r="AG425" s="360"/>
      <c r="AH425" s="360"/>
      <c r="AI425" s="360"/>
    </row>
    <row r="426" spans="1:35" hidden="1" x14ac:dyDescent="0.25">
      <c r="A426" s="390"/>
      <c r="B426" s="369"/>
      <c r="C426" s="369"/>
      <c r="D426" s="369"/>
      <c r="E426" s="379"/>
      <c r="F426" s="380"/>
      <c r="G426" s="381"/>
      <c r="H426" s="421"/>
      <c r="I426" s="375"/>
      <c r="J426" s="375"/>
      <c r="K426" s="375"/>
      <c r="L426" s="375">
        <f>Table148[[#This Row],[Ambitious target 2030]]+Table148[[#This Row],[Ambitious target 2030]]*0.5</f>
        <v>0</v>
      </c>
      <c r="M426" s="375"/>
      <c r="N426" s="375"/>
      <c r="O426" s="375"/>
      <c r="P426" s="375"/>
      <c r="Q426" s="375">
        <f>Table148[[#This Row],[Red target]]-Table148[[#This Row],[Red target]]*0.5</f>
        <v>0</v>
      </c>
      <c r="R426" s="375"/>
      <c r="S426" s="375"/>
      <c r="T426" s="375"/>
      <c r="U426" s="375"/>
      <c r="V426" s="375"/>
      <c r="W426" s="375"/>
      <c r="X426" s="375"/>
      <c r="Y426" s="375"/>
      <c r="Z426" s="375"/>
      <c r="AA426" s="375"/>
      <c r="AB426" s="375"/>
      <c r="AC426" s="396"/>
      <c r="AD426" s="360"/>
      <c r="AE426" s="360"/>
      <c r="AF426" s="360"/>
      <c r="AG426" s="360"/>
      <c r="AH426" s="360"/>
      <c r="AI426" s="360"/>
    </row>
    <row r="427" spans="1:35" hidden="1" x14ac:dyDescent="0.25">
      <c r="A427" s="390"/>
      <c r="B427" s="369"/>
      <c r="C427" s="369"/>
      <c r="D427" s="369"/>
      <c r="E427" s="379"/>
      <c r="F427" s="380"/>
      <c r="G427" s="381"/>
      <c r="H427" s="421"/>
      <c r="I427" s="375"/>
      <c r="J427" s="375"/>
      <c r="K427" s="375"/>
      <c r="L427" s="375">
        <f>Table148[[#This Row],[Ambitious target 2030]]+Table148[[#This Row],[Ambitious target 2030]]*0.5</f>
        <v>0</v>
      </c>
      <c r="M427" s="375"/>
      <c r="N427" s="375"/>
      <c r="O427" s="375"/>
      <c r="P427" s="375"/>
      <c r="Q427" s="375">
        <f>Table148[[#This Row],[Red target]]-Table148[[#This Row],[Red target]]*0.5</f>
        <v>0</v>
      </c>
      <c r="R427" s="375"/>
      <c r="S427" s="375"/>
      <c r="T427" s="375"/>
      <c r="U427" s="375"/>
      <c r="V427" s="375"/>
      <c r="W427" s="375"/>
      <c r="X427" s="375"/>
      <c r="Y427" s="375"/>
      <c r="Z427" s="375"/>
      <c r="AA427" s="375"/>
      <c r="AB427" s="375"/>
      <c r="AC427" s="396"/>
      <c r="AD427" s="360"/>
      <c r="AE427" s="360"/>
      <c r="AF427" s="360"/>
      <c r="AG427" s="360"/>
      <c r="AH427" s="360"/>
      <c r="AI427" s="360"/>
    </row>
    <row r="428" spans="1:35" hidden="1" x14ac:dyDescent="0.25">
      <c r="A428" s="390"/>
      <c r="B428" s="369"/>
      <c r="C428" s="369"/>
      <c r="D428" s="369"/>
      <c r="E428" s="379"/>
      <c r="F428" s="380"/>
      <c r="G428" s="381"/>
      <c r="H428" s="421"/>
      <c r="I428" s="375"/>
      <c r="J428" s="375"/>
      <c r="K428" s="375"/>
      <c r="L428" s="375">
        <f>Table148[[#This Row],[Ambitious target 2030]]+Table148[[#This Row],[Ambitious target 2030]]*0.5</f>
        <v>0</v>
      </c>
      <c r="M428" s="375"/>
      <c r="N428" s="375"/>
      <c r="O428" s="375"/>
      <c r="P428" s="375"/>
      <c r="Q428" s="375">
        <f>Table148[[#This Row],[Red target]]-Table148[[#This Row],[Red target]]*0.5</f>
        <v>0</v>
      </c>
      <c r="R428" s="375"/>
      <c r="S428" s="375"/>
      <c r="T428" s="375"/>
      <c r="U428" s="375"/>
      <c r="V428" s="375"/>
      <c r="W428" s="375"/>
      <c r="X428" s="375"/>
      <c r="Y428" s="375"/>
      <c r="Z428" s="375"/>
      <c r="AA428" s="375"/>
      <c r="AB428" s="375"/>
      <c r="AC428" s="396"/>
      <c r="AD428" s="360"/>
      <c r="AE428" s="360"/>
      <c r="AF428" s="360"/>
      <c r="AG428" s="360"/>
      <c r="AH428" s="360"/>
      <c r="AI428" s="360"/>
    </row>
    <row r="429" spans="1:35" hidden="1" x14ac:dyDescent="0.25">
      <c r="A429" s="390"/>
      <c r="B429" s="369"/>
      <c r="C429" s="369"/>
      <c r="D429" s="369"/>
      <c r="E429" s="382"/>
      <c r="F429" s="383"/>
      <c r="G429" s="384"/>
      <c r="H429" s="421"/>
      <c r="I429" s="375"/>
      <c r="J429" s="375"/>
      <c r="K429" s="375"/>
      <c r="L429" s="375">
        <f>Table148[[#This Row],[Ambitious target 2030]]+Table148[[#This Row],[Ambitious target 2030]]*0.5</f>
        <v>0</v>
      </c>
      <c r="M429" s="375"/>
      <c r="N429" s="375"/>
      <c r="O429" s="375"/>
      <c r="P429" s="375"/>
      <c r="Q429" s="375">
        <f>Table148[[#This Row],[Red target]]-Table148[[#This Row],[Red target]]*0.5</f>
        <v>0</v>
      </c>
      <c r="R429" s="375"/>
      <c r="S429" s="375"/>
      <c r="T429" s="375"/>
      <c r="U429" s="375"/>
      <c r="V429" s="375"/>
      <c r="W429" s="375"/>
      <c r="X429" s="375"/>
      <c r="Y429" s="375"/>
      <c r="Z429" s="375"/>
      <c r="AA429" s="375"/>
      <c r="AB429" s="375"/>
      <c r="AC429" s="396"/>
      <c r="AD429" s="360"/>
      <c r="AE429" s="360"/>
      <c r="AF429" s="360"/>
      <c r="AG429" s="360"/>
      <c r="AH429" s="360"/>
      <c r="AI429" s="360"/>
    </row>
    <row r="430" spans="1:35" hidden="1" x14ac:dyDescent="0.25">
      <c r="A430" s="390"/>
      <c r="B430" s="369"/>
      <c r="C430" s="369"/>
      <c r="D430" s="369"/>
      <c r="E430" s="382"/>
      <c r="F430" s="383"/>
      <c r="G430" s="384"/>
      <c r="H430" s="421"/>
      <c r="I430" s="375"/>
      <c r="J430" s="375"/>
      <c r="K430" s="375"/>
      <c r="L430" s="375">
        <f>Table148[[#This Row],[Ambitious target 2030]]+Table148[[#This Row],[Ambitious target 2030]]*0.5</f>
        <v>0</v>
      </c>
      <c r="M430" s="375"/>
      <c r="N430" s="375"/>
      <c r="O430" s="375"/>
      <c r="P430" s="375"/>
      <c r="Q430" s="375">
        <f>Table148[[#This Row],[Red target]]-Table148[[#This Row],[Red target]]*0.5</f>
        <v>0</v>
      </c>
      <c r="R430" s="375"/>
      <c r="S430" s="375"/>
      <c r="T430" s="375"/>
      <c r="U430" s="375"/>
      <c r="V430" s="375"/>
      <c r="W430" s="375"/>
      <c r="X430" s="375"/>
      <c r="Y430" s="375"/>
      <c r="Z430" s="375"/>
      <c r="AA430" s="375"/>
      <c r="AB430" s="375"/>
      <c r="AC430" s="396"/>
      <c r="AD430" s="360"/>
      <c r="AE430" s="360"/>
      <c r="AF430" s="360"/>
      <c r="AG430" s="360"/>
      <c r="AH430" s="360"/>
      <c r="AI430" s="360"/>
    </row>
    <row r="431" spans="1:35" hidden="1" x14ac:dyDescent="0.25">
      <c r="A431" s="390"/>
      <c r="B431" s="369"/>
      <c r="C431" s="369"/>
      <c r="D431" s="369"/>
      <c r="E431" s="382"/>
      <c r="F431" s="383"/>
      <c r="G431" s="384"/>
      <c r="H431" s="421"/>
      <c r="I431" s="375"/>
      <c r="J431" s="375"/>
      <c r="K431" s="375"/>
      <c r="L431" s="375">
        <f>Table148[[#This Row],[Ambitious target 2030]]+Table148[[#This Row],[Ambitious target 2030]]*0.5</f>
        <v>0</v>
      </c>
      <c r="M431" s="375"/>
      <c r="N431" s="375"/>
      <c r="O431" s="375"/>
      <c r="P431" s="375"/>
      <c r="Q431" s="375">
        <f>Table148[[#This Row],[Red target]]-Table148[[#This Row],[Red target]]*0.5</f>
        <v>0</v>
      </c>
      <c r="R431" s="375"/>
      <c r="S431" s="375"/>
      <c r="T431" s="375"/>
      <c r="U431" s="375"/>
      <c r="V431" s="375"/>
      <c r="W431" s="375"/>
      <c r="X431" s="375"/>
      <c r="Y431" s="375"/>
      <c r="Z431" s="375"/>
      <c r="AA431" s="375"/>
      <c r="AB431" s="375"/>
      <c r="AC431" s="396"/>
      <c r="AD431" s="360"/>
      <c r="AE431" s="360"/>
      <c r="AF431" s="360"/>
      <c r="AG431" s="360"/>
      <c r="AH431" s="360"/>
      <c r="AI431" s="360"/>
    </row>
    <row r="432" spans="1:35" hidden="1" x14ac:dyDescent="0.25">
      <c r="A432" s="390"/>
      <c r="B432" s="369"/>
      <c r="C432" s="369"/>
      <c r="D432" s="369"/>
      <c r="E432" s="382"/>
      <c r="F432" s="383"/>
      <c r="G432" s="384"/>
      <c r="H432" s="421"/>
      <c r="I432" s="375"/>
      <c r="J432" s="375"/>
      <c r="K432" s="375"/>
      <c r="L432" s="375">
        <f>Table148[[#This Row],[Ambitious target 2030]]+Table148[[#This Row],[Ambitious target 2030]]*0.5</f>
        <v>0</v>
      </c>
      <c r="M432" s="375"/>
      <c r="N432" s="375"/>
      <c r="O432" s="375"/>
      <c r="P432" s="375"/>
      <c r="Q432" s="375">
        <f>Table148[[#This Row],[Red target]]-Table148[[#This Row],[Red target]]*0.5</f>
        <v>0</v>
      </c>
      <c r="R432" s="375"/>
      <c r="S432" s="375"/>
      <c r="T432" s="375"/>
      <c r="U432" s="375"/>
      <c r="V432" s="375"/>
      <c r="W432" s="375"/>
      <c r="X432" s="375"/>
      <c r="Y432" s="375"/>
      <c r="Z432" s="375"/>
      <c r="AA432" s="375"/>
      <c r="AB432" s="375"/>
      <c r="AC432" s="396"/>
      <c r="AD432" s="360"/>
      <c r="AE432" s="360"/>
      <c r="AF432" s="360"/>
      <c r="AG432" s="360"/>
      <c r="AH432" s="360"/>
      <c r="AI432" s="360"/>
    </row>
    <row r="433" spans="1:35" hidden="1" x14ac:dyDescent="0.25">
      <c r="A433" s="390"/>
      <c r="B433" s="369"/>
      <c r="C433" s="369"/>
      <c r="D433" s="369"/>
      <c r="E433" s="382"/>
      <c r="F433" s="383"/>
      <c r="G433" s="384"/>
      <c r="H433" s="421"/>
      <c r="I433" s="375"/>
      <c r="J433" s="375"/>
      <c r="K433" s="375"/>
      <c r="L433" s="375">
        <f>Table148[[#This Row],[Ambitious target 2030]]+Table148[[#This Row],[Ambitious target 2030]]*0.5</f>
        <v>0</v>
      </c>
      <c r="M433" s="375"/>
      <c r="N433" s="375"/>
      <c r="O433" s="375"/>
      <c r="P433" s="375"/>
      <c r="Q433" s="375">
        <f>Table148[[#This Row],[Red target]]-Table148[[#This Row],[Red target]]*0.5</f>
        <v>0</v>
      </c>
      <c r="R433" s="375"/>
      <c r="S433" s="375"/>
      <c r="T433" s="375"/>
      <c r="U433" s="375"/>
      <c r="V433" s="375"/>
      <c r="W433" s="375"/>
      <c r="X433" s="375"/>
      <c r="Y433" s="375"/>
      <c r="Z433" s="375"/>
      <c r="AA433" s="375"/>
      <c r="AB433" s="375"/>
      <c r="AC433" s="396"/>
      <c r="AD433" s="360"/>
      <c r="AE433" s="360"/>
      <c r="AF433" s="360"/>
      <c r="AG433" s="360"/>
      <c r="AH433" s="360"/>
      <c r="AI433" s="360"/>
    </row>
    <row r="434" spans="1:35" s="386" customFormat="1" hidden="1" x14ac:dyDescent="0.25">
      <c r="A434" s="409"/>
      <c r="B434" s="406"/>
      <c r="C434" s="406"/>
      <c r="D434" s="406"/>
      <c r="E434" s="407"/>
      <c r="F434" s="407"/>
      <c r="G434" s="407">
        <v>2011</v>
      </c>
      <c r="H434" s="407"/>
      <c r="I434" s="407"/>
      <c r="J434" s="407"/>
      <c r="K434" s="407"/>
      <c r="L434" s="407">
        <f>Table148[[#This Row],[Ambitious target 2030]]+Table148[[#This Row],[Ambitious target 2030]]*0.5</f>
        <v>0</v>
      </c>
      <c r="M434" s="407"/>
      <c r="N434" s="407"/>
      <c r="O434" s="407"/>
      <c r="P434" s="407"/>
      <c r="Q434" s="407">
        <f>Table148[[#This Row],[Red target]]-Table148[[#This Row],[Red target]]*0.5</f>
        <v>0</v>
      </c>
      <c r="R434" s="407"/>
      <c r="S434" s="407"/>
      <c r="T434" s="407"/>
      <c r="U434" s="407"/>
      <c r="V434" s="407"/>
      <c r="W434" s="407"/>
      <c r="X434" s="407"/>
      <c r="Y434" s="407"/>
      <c r="Z434" s="407"/>
      <c r="AA434" s="407"/>
      <c r="AB434" s="407"/>
      <c r="AC434" s="413"/>
    </row>
    <row r="435" spans="1:35" x14ac:dyDescent="0.25">
      <c r="A435" s="429" t="s">
        <v>622</v>
      </c>
      <c r="B435" s="438" t="s">
        <v>505</v>
      </c>
      <c r="C435" s="438" t="s">
        <v>498</v>
      </c>
      <c r="D435" s="436" t="s">
        <v>904</v>
      </c>
      <c r="E435" s="420"/>
      <c r="F435" s="420"/>
      <c r="G435" s="420">
        <v>2.83</v>
      </c>
      <c r="H435" s="421">
        <v>2011</v>
      </c>
      <c r="I435" s="430">
        <v>2.83</v>
      </c>
      <c r="J435" s="430">
        <v>2015</v>
      </c>
      <c r="K435" s="430">
        <v>2.3928400000000001</v>
      </c>
      <c r="L435" s="430">
        <v>2.8439038999999999</v>
      </c>
      <c r="M435" s="430">
        <v>2.9313248999999999</v>
      </c>
      <c r="N435" s="430"/>
      <c r="O435" s="430">
        <f>3.0217489</f>
        <v>3.0217489</v>
      </c>
      <c r="P435" s="430">
        <v>3.0169999999999999</v>
      </c>
      <c r="Q435" s="430">
        <v>3.3364218999999999</v>
      </c>
      <c r="R435" s="430">
        <v>3.125</v>
      </c>
      <c r="S435" s="430"/>
      <c r="T435" s="430">
        <v>3.5979999999999999</v>
      </c>
      <c r="U435" s="430">
        <v>3.9220000000000002</v>
      </c>
      <c r="V435" s="430">
        <v>2.637</v>
      </c>
      <c r="W435" s="430"/>
      <c r="X435" s="430">
        <v>4.2709999999999999</v>
      </c>
      <c r="Y435" s="430">
        <v>6.5609999999999999</v>
      </c>
      <c r="Z435" s="430">
        <v>3.1915646</v>
      </c>
      <c r="AA435" s="430" t="s">
        <v>985</v>
      </c>
      <c r="AB435" s="430" t="s">
        <v>1058</v>
      </c>
      <c r="AC435" s="419" t="s">
        <v>875</v>
      </c>
      <c r="AD435" s="377" t="s">
        <v>986</v>
      </c>
      <c r="AE435" s="360"/>
      <c r="AF435" s="360"/>
      <c r="AG435" s="360"/>
      <c r="AH435" s="360"/>
      <c r="AI435" s="360"/>
    </row>
    <row r="436" spans="1:35" hidden="1" x14ac:dyDescent="0.25">
      <c r="A436" s="389"/>
      <c r="B436" s="435"/>
      <c r="C436" s="372"/>
      <c r="D436" s="372"/>
      <c r="E436" s="379"/>
      <c r="F436" s="380"/>
      <c r="G436" s="381"/>
      <c r="H436" s="375"/>
      <c r="I436" s="375"/>
      <c r="J436" s="375"/>
      <c r="K436" s="375"/>
      <c r="L436" s="431">
        <f>Table148[[#This Row],[Ambitious target 2030]]+Table148[[#This Row],[Ambitious target 2030]]*0.5</f>
        <v>0</v>
      </c>
      <c r="M436" s="375"/>
      <c r="N436" s="375"/>
      <c r="O436" s="431"/>
      <c r="P436" s="431"/>
      <c r="Q436" s="431">
        <f>Table148[[#This Row],[Red target]]-Table148[[#This Row],[Red target]]*0.5</f>
        <v>0</v>
      </c>
      <c r="R436" s="431"/>
      <c r="S436" s="431"/>
      <c r="T436" s="431"/>
      <c r="U436" s="431"/>
      <c r="V436" s="431"/>
      <c r="W436" s="431"/>
      <c r="X436" s="431"/>
      <c r="Y436" s="431"/>
      <c r="Z436" s="431"/>
      <c r="AA436" s="375"/>
      <c r="AB436" s="375"/>
      <c r="AC436" s="401"/>
      <c r="AD436" s="377"/>
      <c r="AE436" s="360"/>
      <c r="AF436" s="360"/>
      <c r="AG436" s="360"/>
      <c r="AH436" s="360"/>
      <c r="AI436" s="360"/>
    </row>
    <row r="437" spans="1:35" hidden="1" x14ac:dyDescent="0.25">
      <c r="A437" s="389"/>
      <c r="B437" s="435"/>
      <c r="C437" s="372"/>
      <c r="D437" s="372"/>
      <c r="E437" s="379"/>
      <c r="F437" s="380"/>
      <c r="G437" s="381"/>
      <c r="H437" s="375"/>
      <c r="I437" s="375"/>
      <c r="J437" s="375"/>
      <c r="K437" s="375"/>
      <c r="L437" s="431">
        <f>Table148[[#This Row],[Ambitious target 2030]]+Table148[[#This Row],[Ambitious target 2030]]*0.5</f>
        <v>0</v>
      </c>
      <c r="M437" s="375"/>
      <c r="N437" s="375"/>
      <c r="O437" s="431"/>
      <c r="P437" s="431"/>
      <c r="Q437" s="431">
        <f>Table148[[#This Row],[Red target]]-Table148[[#This Row],[Red target]]*0.5</f>
        <v>0</v>
      </c>
      <c r="R437" s="431"/>
      <c r="S437" s="431"/>
      <c r="T437" s="431"/>
      <c r="U437" s="431"/>
      <c r="V437" s="431"/>
      <c r="W437" s="431"/>
      <c r="X437" s="431"/>
      <c r="Y437" s="431"/>
      <c r="Z437" s="431"/>
      <c r="AA437" s="375"/>
      <c r="AB437" s="375"/>
      <c r="AC437" s="401"/>
      <c r="AD437" s="377"/>
      <c r="AE437" s="360"/>
      <c r="AF437" s="360"/>
      <c r="AG437" s="360"/>
      <c r="AH437" s="360"/>
      <c r="AI437" s="360"/>
    </row>
    <row r="438" spans="1:35" hidden="1" x14ac:dyDescent="0.25">
      <c r="A438" s="389"/>
      <c r="B438" s="435"/>
      <c r="C438" s="372"/>
      <c r="D438" s="372"/>
      <c r="E438" s="379"/>
      <c r="F438" s="380"/>
      <c r="G438" s="381"/>
      <c r="H438" s="375"/>
      <c r="I438" s="375"/>
      <c r="J438" s="375"/>
      <c r="K438" s="375"/>
      <c r="L438" s="431">
        <f>Table148[[#This Row],[Ambitious target 2030]]+Table148[[#This Row],[Ambitious target 2030]]*0.5</f>
        <v>0</v>
      </c>
      <c r="M438" s="375"/>
      <c r="N438" s="375"/>
      <c r="O438" s="431"/>
      <c r="P438" s="431"/>
      <c r="Q438" s="431">
        <f>Table148[[#This Row],[Red target]]-Table148[[#This Row],[Red target]]*0.5</f>
        <v>0</v>
      </c>
      <c r="R438" s="431"/>
      <c r="S438" s="431"/>
      <c r="T438" s="431"/>
      <c r="U438" s="431"/>
      <c r="V438" s="431"/>
      <c r="W438" s="431"/>
      <c r="X438" s="431"/>
      <c r="Y438" s="431"/>
      <c r="Z438" s="431"/>
      <c r="AA438" s="375"/>
      <c r="AB438" s="375"/>
      <c r="AC438" s="401"/>
      <c r="AD438" s="377"/>
      <c r="AE438" s="360"/>
      <c r="AF438" s="360"/>
      <c r="AG438" s="360"/>
      <c r="AH438" s="360"/>
      <c r="AI438" s="360"/>
    </row>
    <row r="439" spans="1:35" hidden="1" x14ac:dyDescent="0.25">
      <c r="A439" s="389"/>
      <c r="B439" s="435"/>
      <c r="C439" s="372"/>
      <c r="D439" s="372"/>
      <c r="E439" s="379"/>
      <c r="F439" s="380"/>
      <c r="G439" s="381"/>
      <c r="H439" s="375"/>
      <c r="I439" s="375"/>
      <c r="J439" s="375"/>
      <c r="K439" s="375"/>
      <c r="L439" s="431">
        <f>Table148[[#This Row],[Ambitious target 2030]]+Table148[[#This Row],[Ambitious target 2030]]*0.5</f>
        <v>0</v>
      </c>
      <c r="M439" s="375"/>
      <c r="N439" s="375"/>
      <c r="O439" s="431"/>
      <c r="P439" s="431"/>
      <c r="Q439" s="431">
        <f>Table148[[#This Row],[Red target]]-Table148[[#This Row],[Red target]]*0.5</f>
        <v>0</v>
      </c>
      <c r="R439" s="431"/>
      <c r="S439" s="431"/>
      <c r="T439" s="431"/>
      <c r="U439" s="431"/>
      <c r="V439" s="431"/>
      <c r="W439" s="431"/>
      <c r="X439" s="431"/>
      <c r="Y439" s="431"/>
      <c r="Z439" s="431"/>
      <c r="AA439" s="375"/>
      <c r="AB439" s="375"/>
      <c r="AC439" s="401"/>
      <c r="AD439" s="377"/>
      <c r="AE439" s="360"/>
      <c r="AF439" s="360"/>
      <c r="AG439" s="360"/>
      <c r="AH439" s="360"/>
      <c r="AI439" s="360"/>
    </row>
    <row r="440" spans="1:35" hidden="1" x14ac:dyDescent="0.25">
      <c r="A440" s="389"/>
      <c r="B440" s="435"/>
      <c r="C440" s="372"/>
      <c r="D440" s="372"/>
      <c r="E440" s="379"/>
      <c r="F440" s="380"/>
      <c r="G440" s="381"/>
      <c r="H440" s="375"/>
      <c r="I440" s="375"/>
      <c r="J440" s="375"/>
      <c r="K440" s="375"/>
      <c r="L440" s="431">
        <f>Table148[[#This Row],[Ambitious target 2030]]+Table148[[#This Row],[Ambitious target 2030]]*0.5</f>
        <v>0</v>
      </c>
      <c r="M440" s="375"/>
      <c r="N440" s="375"/>
      <c r="O440" s="431"/>
      <c r="P440" s="431"/>
      <c r="Q440" s="431">
        <f>Table148[[#This Row],[Red target]]-Table148[[#This Row],[Red target]]*0.5</f>
        <v>0</v>
      </c>
      <c r="R440" s="431"/>
      <c r="S440" s="431"/>
      <c r="T440" s="431"/>
      <c r="U440" s="431"/>
      <c r="V440" s="431"/>
      <c r="W440" s="431"/>
      <c r="X440" s="431"/>
      <c r="Y440" s="431"/>
      <c r="Z440" s="431"/>
      <c r="AA440" s="375"/>
      <c r="AB440" s="375"/>
      <c r="AC440" s="401"/>
      <c r="AD440" s="377"/>
      <c r="AE440" s="360"/>
      <c r="AF440" s="360"/>
      <c r="AG440" s="360"/>
      <c r="AH440" s="360"/>
      <c r="AI440" s="360"/>
    </row>
    <row r="441" spans="1:35" hidden="1" x14ac:dyDescent="0.25">
      <c r="A441" s="389"/>
      <c r="B441" s="435"/>
      <c r="C441" s="372"/>
      <c r="D441" s="372"/>
      <c r="E441" s="382"/>
      <c r="F441" s="383"/>
      <c r="G441" s="384"/>
      <c r="H441" s="375"/>
      <c r="I441" s="375"/>
      <c r="J441" s="375"/>
      <c r="K441" s="375"/>
      <c r="L441" s="431">
        <f>Table148[[#This Row],[Ambitious target 2030]]+Table148[[#This Row],[Ambitious target 2030]]*0.5</f>
        <v>0</v>
      </c>
      <c r="M441" s="375"/>
      <c r="N441" s="375"/>
      <c r="O441" s="431"/>
      <c r="P441" s="431"/>
      <c r="Q441" s="431">
        <f>Table148[[#This Row],[Red target]]-Table148[[#This Row],[Red target]]*0.5</f>
        <v>0</v>
      </c>
      <c r="R441" s="431"/>
      <c r="S441" s="431"/>
      <c r="T441" s="431"/>
      <c r="U441" s="431"/>
      <c r="V441" s="431"/>
      <c r="W441" s="431"/>
      <c r="X441" s="431"/>
      <c r="Y441" s="431"/>
      <c r="Z441" s="431"/>
      <c r="AA441" s="375"/>
      <c r="AB441" s="375"/>
      <c r="AC441" s="401"/>
      <c r="AD441" s="377"/>
      <c r="AE441" s="360"/>
      <c r="AF441" s="360"/>
      <c r="AG441" s="360"/>
      <c r="AH441" s="360"/>
      <c r="AI441" s="360"/>
    </row>
    <row r="442" spans="1:35" hidden="1" x14ac:dyDescent="0.25">
      <c r="A442" s="389"/>
      <c r="B442" s="435"/>
      <c r="C442" s="372"/>
      <c r="D442" s="372"/>
      <c r="E442" s="382"/>
      <c r="F442" s="383"/>
      <c r="G442" s="384"/>
      <c r="H442" s="375"/>
      <c r="I442" s="375"/>
      <c r="J442" s="375"/>
      <c r="K442" s="375"/>
      <c r="L442" s="431">
        <f>Table148[[#This Row],[Ambitious target 2030]]+Table148[[#This Row],[Ambitious target 2030]]*0.5</f>
        <v>0</v>
      </c>
      <c r="M442" s="375"/>
      <c r="N442" s="375"/>
      <c r="O442" s="431"/>
      <c r="P442" s="431"/>
      <c r="Q442" s="431">
        <f>Table148[[#This Row],[Red target]]-Table148[[#This Row],[Red target]]*0.5</f>
        <v>0</v>
      </c>
      <c r="R442" s="431"/>
      <c r="S442" s="431"/>
      <c r="T442" s="431"/>
      <c r="U442" s="431"/>
      <c r="V442" s="431"/>
      <c r="W442" s="431"/>
      <c r="X442" s="431"/>
      <c r="Y442" s="431"/>
      <c r="Z442" s="431"/>
      <c r="AA442" s="375"/>
      <c r="AB442" s="375"/>
      <c r="AC442" s="401"/>
      <c r="AD442" s="377"/>
      <c r="AE442" s="360"/>
      <c r="AF442" s="360"/>
      <c r="AG442" s="360"/>
      <c r="AH442" s="360"/>
      <c r="AI442" s="360"/>
    </row>
    <row r="443" spans="1:35" hidden="1" x14ac:dyDescent="0.25">
      <c r="A443" s="389"/>
      <c r="B443" s="435"/>
      <c r="C443" s="372"/>
      <c r="D443" s="372"/>
      <c r="E443" s="382"/>
      <c r="F443" s="383"/>
      <c r="G443" s="384"/>
      <c r="H443" s="375"/>
      <c r="I443" s="375"/>
      <c r="J443" s="375"/>
      <c r="K443" s="375"/>
      <c r="L443" s="431">
        <f>Table148[[#This Row],[Ambitious target 2030]]+Table148[[#This Row],[Ambitious target 2030]]*0.5</f>
        <v>0</v>
      </c>
      <c r="M443" s="375"/>
      <c r="N443" s="375"/>
      <c r="O443" s="431"/>
      <c r="P443" s="431"/>
      <c r="Q443" s="431">
        <f>Table148[[#This Row],[Red target]]-Table148[[#This Row],[Red target]]*0.5</f>
        <v>0</v>
      </c>
      <c r="R443" s="431"/>
      <c r="S443" s="431"/>
      <c r="T443" s="431"/>
      <c r="U443" s="431"/>
      <c r="V443" s="431"/>
      <c r="W443" s="431"/>
      <c r="X443" s="431"/>
      <c r="Y443" s="431"/>
      <c r="Z443" s="431"/>
      <c r="AA443" s="375"/>
      <c r="AB443" s="375"/>
      <c r="AC443" s="401"/>
      <c r="AD443" s="377"/>
      <c r="AE443" s="360"/>
      <c r="AF443" s="360"/>
      <c r="AG443" s="360"/>
      <c r="AH443" s="360"/>
      <c r="AI443" s="360"/>
    </row>
    <row r="444" spans="1:35" hidden="1" x14ac:dyDescent="0.25">
      <c r="A444" s="389"/>
      <c r="B444" s="435"/>
      <c r="C444" s="372"/>
      <c r="D444" s="372"/>
      <c r="E444" s="382"/>
      <c r="F444" s="383"/>
      <c r="G444" s="384"/>
      <c r="H444" s="375"/>
      <c r="I444" s="375"/>
      <c r="J444" s="375"/>
      <c r="K444" s="375"/>
      <c r="L444" s="431">
        <f>Table148[[#This Row],[Ambitious target 2030]]+Table148[[#This Row],[Ambitious target 2030]]*0.5</f>
        <v>0</v>
      </c>
      <c r="M444" s="375"/>
      <c r="N444" s="375"/>
      <c r="O444" s="431"/>
      <c r="P444" s="431"/>
      <c r="Q444" s="431">
        <f>Table148[[#This Row],[Red target]]-Table148[[#This Row],[Red target]]*0.5</f>
        <v>0</v>
      </c>
      <c r="R444" s="431"/>
      <c r="S444" s="431"/>
      <c r="T444" s="431"/>
      <c r="U444" s="431"/>
      <c r="V444" s="431"/>
      <c r="W444" s="431"/>
      <c r="X444" s="431"/>
      <c r="Y444" s="431"/>
      <c r="Z444" s="431"/>
      <c r="AA444" s="375"/>
      <c r="AB444" s="375"/>
      <c r="AC444" s="401"/>
      <c r="AD444" s="377"/>
      <c r="AE444" s="360"/>
      <c r="AF444" s="360"/>
      <c r="AG444" s="360"/>
      <c r="AH444" s="360"/>
      <c r="AI444" s="360"/>
    </row>
    <row r="445" spans="1:35" hidden="1" x14ac:dyDescent="0.25">
      <c r="A445" s="389"/>
      <c r="B445" s="435"/>
      <c r="C445" s="372"/>
      <c r="D445" s="372"/>
      <c r="E445" s="382"/>
      <c r="F445" s="383"/>
      <c r="G445" s="384"/>
      <c r="H445" s="375"/>
      <c r="I445" s="375"/>
      <c r="J445" s="375"/>
      <c r="K445" s="375"/>
      <c r="L445" s="431">
        <f>Table148[[#This Row],[Ambitious target 2030]]+Table148[[#This Row],[Ambitious target 2030]]*0.5</f>
        <v>0</v>
      </c>
      <c r="M445" s="375"/>
      <c r="N445" s="375"/>
      <c r="O445" s="431"/>
      <c r="P445" s="431"/>
      <c r="Q445" s="431">
        <f>Table148[[#This Row],[Red target]]-Table148[[#This Row],[Red target]]*0.5</f>
        <v>0</v>
      </c>
      <c r="R445" s="431"/>
      <c r="S445" s="431"/>
      <c r="T445" s="431"/>
      <c r="U445" s="431"/>
      <c r="V445" s="431"/>
      <c r="W445" s="431"/>
      <c r="X445" s="431"/>
      <c r="Y445" s="431"/>
      <c r="Z445" s="431"/>
      <c r="AA445" s="375"/>
      <c r="AB445" s="375"/>
      <c r="AC445" s="401"/>
      <c r="AD445" s="377"/>
      <c r="AE445" s="360"/>
      <c r="AF445" s="360"/>
      <c r="AG445" s="360"/>
      <c r="AH445" s="360"/>
      <c r="AI445" s="360"/>
    </row>
    <row r="446" spans="1:35" s="386" customFormat="1" hidden="1" x14ac:dyDescent="0.25">
      <c r="A446" s="409"/>
      <c r="B446" s="433"/>
      <c r="C446" s="406"/>
      <c r="D446" s="406"/>
      <c r="E446" s="407"/>
      <c r="F446" s="407"/>
      <c r="G446" s="407">
        <v>2011</v>
      </c>
      <c r="H446" s="407"/>
      <c r="I446" s="407"/>
      <c r="J446" s="407"/>
      <c r="K446" s="407"/>
      <c r="L446" s="407">
        <f>Table148[[#This Row],[Ambitious target 2030]]+Table148[[#This Row],[Ambitious target 2030]]*0.5</f>
        <v>0</v>
      </c>
      <c r="M446" s="407"/>
      <c r="N446" s="407"/>
      <c r="O446" s="407"/>
      <c r="P446" s="407"/>
      <c r="Q446" s="392">
        <f>Table148[[#This Row],[Red target]]-Table148[[#This Row],[Red target]]*0.5</f>
        <v>1.3148347499999999</v>
      </c>
      <c r="R446" s="392"/>
      <c r="S446" s="392"/>
      <c r="T446" s="392"/>
      <c r="U446" s="392"/>
      <c r="V446" s="392"/>
      <c r="W446" s="392"/>
      <c r="X446" s="392"/>
      <c r="Y446" s="392"/>
      <c r="Z446" s="392">
        <v>2.6296694999999999</v>
      </c>
      <c r="AA446" s="407"/>
      <c r="AB446" s="407"/>
      <c r="AC446" s="414"/>
    </row>
    <row r="447" spans="1:35" x14ac:dyDescent="0.25">
      <c r="A447" s="429" t="s">
        <v>623</v>
      </c>
      <c r="B447" s="438" t="s">
        <v>658</v>
      </c>
      <c r="C447" s="438" t="s">
        <v>498</v>
      </c>
      <c r="D447" s="436" t="s">
        <v>904</v>
      </c>
      <c r="E447" s="420"/>
      <c r="F447" s="420"/>
      <c r="G447" s="420">
        <v>1.82</v>
      </c>
      <c r="H447" s="421">
        <v>2011</v>
      </c>
      <c r="I447" s="430">
        <v>1.82</v>
      </c>
      <c r="J447" s="430">
        <v>2015</v>
      </c>
      <c r="K447" s="430">
        <v>2.0063399999999998</v>
      </c>
      <c r="L447" s="430">
        <v>2.2869142999999998</v>
      </c>
      <c r="M447" s="430">
        <v>2.4343537</v>
      </c>
      <c r="N447" s="430"/>
      <c r="O447" s="430">
        <v>2.4919891000000001</v>
      </c>
      <c r="P447" s="430">
        <v>2.5009999999999999</v>
      </c>
      <c r="Q447" s="430">
        <v>2.6296694999999999</v>
      </c>
      <c r="R447" s="430">
        <v>2.7229999999999999</v>
      </c>
      <c r="S447" s="430"/>
      <c r="T447" s="430">
        <v>3.0819999999999999</v>
      </c>
      <c r="U447" s="430">
        <v>3.28</v>
      </c>
      <c r="V447" s="430">
        <v>2.38</v>
      </c>
      <c r="W447" s="430"/>
      <c r="X447" s="430">
        <v>3.802</v>
      </c>
      <c r="Y447" s="430">
        <v>5.6079999999999997</v>
      </c>
      <c r="Z447" s="430">
        <v>2.5244892999999999</v>
      </c>
      <c r="AA447" s="430" t="s">
        <v>985</v>
      </c>
      <c r="AB447" s="430" t="s">
        <v>1182</v>
      </c>
      <c r="AC447" s="419" t="s">
        <v>875</v>
      </c>
      <c r="AD447" s="377" t="s">
        <v>986</v>
      </c>
      <c r="AE447" s="360"/>
      <c r="AF447" s="360"/>
      <c r="AG447" s="360"/>
      <c r="AH447" s="360"/>
      <c r="AI447" s="360"/>
    </row>
    <row r="448" spans="1:35" hidden="1" x14ac:dyDescent="0.25">
      <c r="A448" s="389"/>
      <c r="B448" s="435"/>
      <c r="C448" s="372"/>
      <c r="D448" s="372"/>
      <c r="E448" s="379"/>
      <c r="F448" s="380"/>
      <c r="G448" s="381"/>
      <c r="H448" s="375"/>
      <c r="I448" s="375"/>
      <c r="J448" s="375"/>
      <c r="K448" s="375"/>
      <c r="L448" s="431">
        <f>Table148[[#This Row],[Ambitious target 2030]]+Table148[[#This Row],[Ambitious target 2030]]*0.5</f>
        <v>0</v>
      </c>
      <c r="M448" s="375"/>
      <c r="N448" s="375"/>
      <c r="O448" s="431"/>
      <c r="P448" s="431"/>
      <c r="Q448" s="431">
        <f>Table148[[#This Row],[Red target]]-Table148[[#This Row],[Red target]]*0.5</f>
        <v>0</v>
      </c>
      <c r="R448" s="431"/>
      <c r="S448" s="431"/>
      <c r="T448" s="431"/>
      <c r="U448" s="431"/>
      <c r="V448" s="431"/>
      <c r="W448" s="431"/>
      <c r="X448" s="431"/>
      <c r="Y448" s="431"/>
      <c r="Z448" s="431"/>
      <c r="AA448" s="375"/>
      <c r="AB448" s="375"/>
      <c r="AC448" s="401"/>
      <c r="AD448" s="377"/>
      <c r="AE448" s="360"/>
      <c r="AF448" s="360"/>
      <c r="AG448" s="360"/>
      <c r="AH448" s="360"/>
      <c r="AI448" s="360"/>
    </row>
    <row r="449" spans="1:35" hidden="1" x14ac:dyDescent="0.25">
      <c r="A449" s="389"/>
      <c r="B449" s="435"/>
      <c r="C449" s="372"/>
      <c r="D449" s="372"/>
      <c r="E449" s="379"/>
      <c r="F449" s="380"/>
      <c r="G449" s="381"/>
      <c r="H449" s="375"/>
      <c r="I449" s="375"/>
      <c r="J449" s="375"/>
      <c r="K449" s="375"/>
      <c r="L449" s="431">
        <f>Table148[[#This Row],[Ambitious target 2030]]+Table148[[#This Row],[Ambitious target 2030]]*0.5</f>
        <v>0</v>
      </c>
      <c r="M449" s="375"/>
      <c r="N449" s="375"/>
      <c r="O449" s="431"/>
      <c r="P449" s="431"/>
      <c r="Q449" s="431">
        <f>Table148[[#This Row],[Red target]]-Table148[[#This Row],[Red target]]*0.5</f>
        <v>0</v>
      </c>
      <c r="R449" s="431"/>
      <c r="S449" s="431"/>
      <c r="T449" s="431"/>
      <c r="U449" s="431"/>
      <c r="V449" s="431"/>
      <c r="W449" s="431"/>
      <c r="X449" s="431"/>
      <c r="Y449" s="431"/>
      <c r="Z449" s="431"/>
      <c r="AA449" s="375"/>
      <c r="AB449" s="375"/>
      <c r="AC449" s="401"/>
      <c r="AD449" s="377"/>
      <c r="AE449" s="360"/>
      <c r="AF449" s="360"/>
      <c r="AG449" s="360"/>
      <c r="AH449" s="360"/>
      <c r="AI449" s="360"/>
    </row>
    <row r="450" spans="1:35" hidden="1" x14ac:dyDescent="0.25">
      <c r="A450" s="389"/>
      <c r="B450" s="435"/>
      <c r="C450" s="372"/>
      <c r="D450" s="372"/>
      <c r="E450" s="379"/>
      <c r="F450" s="380"/>
      <c r="G450" s="381"/>
      <c r="H450" s="375"/>
      <c r="I450" s="375"/>
      <c r="J450" s="375"/>
      <c r="K450" s="375"/>
      <c r="L450" s="431">
        <f>Table148[[#This Row],[Ambitious target 2030]]+Table148[[#This Row],[Ambitious target 2030]]*0.5</f>
        <v>0</v>
      </c>
      <c r="M450" s="375"/>
      <c r="N450" s="375"/>
      <c r="O450" s="431"/>
      <c r="P450" s="431"/>
      <c r="Q450" s="431">
        <f>Table148[[#This Row],[Red target]]-Table148[[#This Row],[Red target]]*0.5</f>
        <v>0</v>
      </c>
      <c r="R450" s="431"/>
      <c r="S450" s="431"/>
      <c r="T450" s="431"/>
      <c r="U450" s="431"/>
      <c r="V450" s="431"/>
      <c r="W450" s="431"/>
      <c r="X450" s="431"/>
      <c r="Y450" s="431"/>
      <c r="Z450" s="431"/>
      <c r="AA450" s="375"/>
      <c r="AB450" s="375"/>
      <c r="AC450" s="401"/>
      <c r="AD450" s="377"/>
      <c r="AE450" s="360"/>
      <c r="AF450" s="360"/>
      <c r="AG450" s="360"/>
      <c r="AH450" s="360"/>
      <c r="AI450" s="360"/>
    </row>
    <row r="451" spans="1:35" hidden="1" x14ac:dyDescent="0.25">
      <c r="A451" s="389"/>
      <c r="B451" s="435"/>
      <c r="C451" s="372"/>
      <c r="D451" s="372"/>
      <c r="E451" s="379"/>
      <c r="F451" s="380"/>
      <c r="G451" s="381"/>
      <c r="H451" s="375"/>
      <c r="I451" s="375"/>
      <c r="J451" s="375"/>
      <c r="K451" s="375"/>
      <c r="L451" s="431">
        <f>Table148[[#This Row],[Ambitious target 2030]]+Table148[[#This Row],[Ambitious target 2030]]*0.5</f>
        <v>0</v>
      </c>
      <c r="M451" s="375"/>
      <c r="N451" s="375"/>
      <c r="O451" s="431"/>
      <c r="P451" s="431"/>
      <c r="Q451" s="431">
        <f>Table148[[#This Row],[Red target]]-Table148[[#This Row],[Red target]]*0.5</f>
        <v>0</v>
      </c>
      <c r="R451" s="431"/>
      <c r="S451" s="431"/>
      <c r="T451" s="431"/>
      <c r="U451" s="431"/>
      <c r="V451" s="431"/>
      <c r="W451" s="431"/>
      <c r="X451" s="431"/>
      <c r="Y451" s="431"/>
      <c r="Z451" s="431"/>
      <c r="AA451" s="375"/>
      <c r="AB451" s="375"/>
      <c r="AC451" s="401"/>
      <c r="AD451" s="377"/>
      <c r="AE451" s="360"/>
      <c r="AF451" s="360"/>
      <c r="AG451" s="360"/>
      <c r="AH451" s="360"/>
      <c r="AI451" s="360"/>
    </row>
    <row r="452" spans="1:35" hidden="1" x14ac:dyDescent="0.25">
      <c r="A452" s="389"/>
      <c r="B452" s="435"/>
      <c r="C452" s="372"/>
      <c r="D452" s="372"/>
      <c r="E452" s="379"/>
      <c r="F452" s="380"/>
      <c r="G452" s="381"/>
      <c r="H452" s="375"/>
      <c r="I452" s="375"/>
      <c r="J452" s="375"/>
      <c r="K452" s="375"/>
      <c r="L452" s="431">
        <f>Table148[[#This Row],[Ambitious target 2030]]+Table148[[#This Row],[Ambitious target 2030]]*0.5</f>
        <v>0</v>
      </c>
      <c r="M452" s="375"/>
      <c r="N452" s="375"/>
      <c r="O452" s="431"/>
      <c r="P452" s="431"/>
      <c r="Q452" s="431">
        <f>Table148[[#This Row],[Red target]]-Table148[[#This Row],[Red target]]*0.5</f>
        <v>0</v>
      </c>
      <c r="R452" s="431"/>
      <c r="S452" s="431"/>
      <c r="T452" s="431"/>
      <c r="U452" s="431"/>
      <c r="V452" s="431"/>
      <c r="W452" s="431"/>
      <c r="X452" s="431"/>
      <c r="Y452" s="431"/>
      <c r="Z452" s="431"/>
      <c r="AA452" s="375"/>
      <c r="AB452" s="375"/>
      <c r="AC452" s="401"/>
      <c r="AD452" s="377"/>
      <c r="AE452" s="360"/>
      <c r="AF452" s="360"/>
      <c r="AG452" s="360"/>
      <c r="AH452" s="360"/>
      <c r="AI452" s="360"/>
    </row>
    <row r="453" spans="1:35" hidden="1" x14ac:dyDescent="0.25">
      <c r="A453" s="389"/>
      <c r="B453" s="435"/>
      <c r="C453" s="372"/>
      <c r="D453" s="372"/>
      <c r="E453" s="382"/>
      <c r="F453" s="383"/>
      <c r="G453" s="384"/>
      <c r="H453" s="375"/>
      <c r="I453" s="375"/>
      <c r="J453" s="375"/>
      <c r="K453" s="375"/>
      <c r="L453" s="431">
        <f>Table148[[#This Row],[Ambitious target 2030]]+Table148[[#This Row],[Ambitious target 2030]]*0.5</f>
        <v>0</v>
      </c>
      <c r="M453" s="375"/>
      <c r="N453" s="375"/>
      <c r="O453" s="431"/>
      <c r="P453" s="431"/>
      <c r="Q453" s="431">
        <f>Table148[[#This Row],[Red target]]-Table148[[#This Row],[Red target]]*0.5</f>
        <v>0</v>
      </c>
      <c r="R453" s="431"/>
      <c r="S453" s="431"/>
      <c r="T453" s="431"/>
      <c r="U453" s="431"/>
      <c r="V453" s="431"/>
      <c r="W453" s="431"/>
      <c r="X453" s="431"/>
      <c r="Y453" s="431"/>
      <c r="Z453" s="431"/>
      <c r="AA453" s="375"/>
      <c r="AB453" s="375"/>
      <c r="AC453" s="401"/>
      <c r="AD453" s="377"/>
      <c r="AE453" s="360"/>
      <c r="AF453" s="360"/>
      <c r="AG453" s="360"/>
      <c r="AH453" s="360"/>
      <c r="AI453" s="360"/>
    </row>
    <row r="454" spans="1:35" hidden="1" x14ac:dyDescent="0.25">
      <c r="A454" s="389"/>
      <c r="B454" s="435"/>
      <c r="C454" s="372"/>
      <c r="D454" s="372"/>
      <c r="E454" s="382"/>
      <c r="F454" s="383"/>
      <c r="G454" s="384"/>
      <c r="H454" s="375"/>
      <c r="I454" s="375"/>
      <c r="J454" s="375"/>
      <c r="K454" s="375"/>
      <c r="L454" s="431">
        <f>Table148[[#This Row],[Ambitious target 2030]]+Table148[[#This Row],[Ambitious target 2030]]*0.5</f>
        <v>0</v>
      </c>
      <c r="M454" s="375"/>
      <c r="N454" s="375"/>
      <c r="O454" s="431"/>
      <c r="P454" s="431"/>
      <c r="Q454" s="431">
        <f>Table148[[#This Row],[Red target]]-Table148[[#This Row],[Red target]]*0.5</f>
        <v>0</v>
      </c>
      <c r="R454" s="431"/>
      <c r="S454" s="431"/>
      <c r="T454" s="431"/>
      <c r="U454" s="431"/>
      <c r="V454" s="431"/>
      <c r="W454" s="431"/>
      <c r="X454" s="431"/>
      <c r="Y454" s="431"/>
      <c r="Z454" s="431"/>
      <c r="AA454" s="375"/>
      <c r="AB454" s="375"/>
      <c r="AC454" s="401"/>
      <c r="AD454" s="377"/>
      <c r="AE454" s="360"/>
      <c r="AF454" s="360"/>
      <c r="AG454" s="360"/>
      <c r="AH454" s="360"/>
      <c r="AI454" s="360"/>
    </row>
    <row r="455" spans="1:35" hidden="1" x14ac:dyDescent="0.25">
      <c r="A455" s="389"/>
      <c r="B455" s="435"/>
      <c r="C455" s="372"/>
      <c r="D455" s="372"/>
      <c r="E455" s="382"/>
      <c r="F455" s="383"/>
      <c r="G455" s="384"/>
      <c r="H455" s="375"/>
      <c r="I455" s="375"/>
      <c r="J455" s="375"/>
      <c r="K455" s="375"/>
      <c r="L455" s="431">
        <f>Table148[[#This Row],[Ambitious target 2030]]+Table148[[#This Row],[Ambitious target 2030]]*0.5</f>
        <v>0</v>
      </c>
      <c r="M455" s="375"/>
      <c r="N455" s="375"/>
      <c r="O455" s="431"/>
      <c r="P455" s="431"/>
      <c r="Q455" s="431">
        <f>Table148[[#This Row],[Red target]]-Table148[[#This Row],[Red target]]*0.5</f>
        <v>0</v>
      </c>
      <c r="R455" s="431"/>
      <c r="S455" s="431"/>
      <c r="T455" s="431"/>
      <c r="U455" s="431"/>
      <c r="V455" s="431"/>
      <c r="W455" s="431"/>
      <c r="X455" s="431"/>
      <c r="Y455" s="431"/>
      <c r="Z455" s="431"/>
      <c r="AA455" s="375"/>
      <c r="AB455" s="375"/>
      <c r="AC455" s="401"/>
      <c r="AD455" s="377"/>
      <c r="AE455" s="360"/>
      <c r="AF455" s="360"/>
      <c r="AG455" s="360"/>
      <c r="AH455" s="360"/>
      <c r="AI455" s="360"/>
    </row>
    <row r="456" spans="1:35" hidden="1" x14ac:dyDescent="0.25">
      <c r="A456" s="389"/>
      <c r="B456" s="435"/>
      <c r="C456" s="372"/>
      <c r="D456" s="372"/>
      <c r="E456" s="382"/>
      <c r="F456" s="383"/>
      <c r="G456" s="384"/>
      <c r="H456" s="375"/>
      <c r="I456" s="375"/>
      <c r="J456" s="375"/>
      <c r="K456" s="375"/>
      <c r="L456" s="431">
        <f>Table148[[#This Row],[Ambitious target 2030]]+Table148[[#This Row],[Ambitious target 2030]]*0.5</f>
        <v>0</v>
      </c>
      <c r="M456" s="375"/>
      <c r="N456" s="375"/>
      <c r="O456" s="431"/>
      <c r="P456" s="431"/>
      <c r="Q456" s="431">
        <f>Table148[[#This Row],[Red target]]-Table148[[#This Row],[Red target]]*0.5</f>
        <v>0</v>
      </c>
      <c r="R456" s="431"/>
      <c r="S456" s="431"/>
      <c r="T456" s="431"/>
      <c r="U456" s="431"/>
      <c r="V456" s="431"/>
      <c r="W456" s="431"/>
      <c r="X456" s="431"/>
      <c r="Y456" s="431"/>
      <c r="Z456" s="431"/>
      <c r="AA456" s="375"/>
      <c r="AB456" s="375"/>
      <c r="AC456" s="401"/>
      <c r="AD456" s="377"/>
      <c r="AE456" s="360"/>
      <c r="AF456" s="360"/>
      <c r="AG456" s="360"/>
      <c r="AH456" s="360"/>
      <c r="AI456" s="360"/>
    </row>
    <row r="457" spans="1:35" hidden="1" x14ac:dyDescent="0.25">
      <c r="A457" s="389"/>
      <c r="B457" s="435"/>
      <c r="C457" s="372"/>
      <c r="D457" s="372"/>
      <c r="E457" s="382"/>
      <c r="F457" s="383"/>
      <c r="G457" s="384"/>
      <c r="H457" s="375"/>
      <c r="I457" s="375"/>
      <c r="J457" s="375"/>
      <c r="K457" s="375"/>
      <c r="L457" s="431">
        <f>Table148[[#This Row],[Ambitious target 2030]]+Table148[[#This Row],[Ambitious target 2030]]*0.5</f>
        <v>0</v>
      </c>
      <c r="M457" s="375"/>
      <c r="N457" s="375"/>
      <c r="O457" s="431"/>
      <c r="P457" s="431"/>
      <c r="Q457" s="431">
        <f>Table148[[#This Row],[Red target]]-Table148[[#This Row],[Red target]]*0.5</f>
        <v>0</v>
      </c>
      <c r="R457" s="431"/>
      <c r="S457" s="431"/>
      <c r="T457" s="431"/>
      <c r="U457" s="431"/>
      <c r="V457" s="431"/>
      <c r="W457" s="431"/>
      <c r="X457" s="431"/>
      <c r="Y457" s="431"/>
      <c r="Z457" s="431"/>
      <c r="AA457" s="375"/>
      <c r="AB457" s="375"/>
      <c r="AC457" s="401"/>
      <c r="AD457" s="377"/>
      <c r="AE457" s="360"/>
      <c r="AF457" s="360"/>
      <c r="AG457" s="360"/>
      <c r="AH457" s="360"/>
      <c r="AI457" s="360"/>
    </row>
    <row r="458" spans="1:35" s="386" customFormat="1" hidden="1" x14ac:dyDescent="0.25">
      <c r="A458" s="409"/>
      <c r="B458" s="433"/>
      <c r="C458" s="406"/>
      <c r="D458" s="406"/>
      <c r="E458" s="407">
        <v>2005</v>
      </c>
      <c r="F458" s="407">
        <v>2010</v>
      </c>
      <c r="G458" s="407">
        <v>2020</v>
      </c>
      <c r="H458" s="407"/>
      <c r="I458" s="407"/>
      <c r="J458" s="407"/>
      <c r="K458" s="407"/>
      <c r="L458" s="407">
        <f>Table148[[#This Row],[Ambitious target 2030]]+Table148[[#This Row],[Ambitious target 2030]]*0.5</f>
        <v>0</v>
      </c>
      <c r="M458" s="407"/>
      <c r="N458" s="407"/>
      <c r="O458" s="407"/>
      <c r="P458" s="407"/>
      <c r="Q458" s="407">
        <f>Table148[[#This Row],[Red target]]-Table148[[#This Row],[Red target]]*0.5</f>
        <v>0</v>
      </c>
      <c r="R458" s="407"/>
      <c r="S458" s="407"/>
      <c r="T458" s="407"/>
      <c r="U458" s="407"/>
      <c r="V458" s="407"/>
      <c r="W458" s="407"/>
      <c r="X458" s="407"/>
      <c r="Y458" s="407"/>
      <c r="Z458" s="407"/>
      <c r="AA458" s="407"/>
      <c r="AB458" s="407"/>
      <c r="AC458" s="413"/>
    </row>
    <row r="459" spans="1:35" x14ac:dyDescent="0.25">
      <c r="A459" s="429" t="s">
        <v>624</v>
      </c>
      <c r="B459" s="438" t="s">
        <v>1029</v>
      </c>
      <c r="C459" s="438" t="s">
        <v>499</v>
      </c>
      <c r="D459" s="436" t="s">
        <v>1083</v>
      </c>
      <c r="E459" s="420">
        <v>0.91300000000000003</v>
      </c>
      <c r="F459" s="420">
        <v>0.98899999999999999</v>
      </c>
      <c r="G459" s="420">
        <v>1.2410000000000001</v>
      </c>
      <c r="H459" s="421">
        <v>2020</v>
      </c>
      <c r="I459" s="430">
        <v>1.2410000000000001</v>
      </c>
      <c r="J459" s="430">
        <v>2015</v>
      </c>
      <c r="K459" s="430">
        <v>1.12751</v>
      </c>
      <c r="L459" s="430">
        <v>1.466178</v>
      </c>
      <c r="M459" s="430">
        <v>1.4725360000000001</v>
      </c>
      <c r="N459" s="430"/>
      <c r="O459" s="430">
        <v>1.4947785</v>
      </c>
      <c r="P459" s="430">
        <v>1.4830000000000001</v>
      </c>
      <c r="Q459" s="430">
        <v>1.6029602000000001</v>
      </c>
      <c r="R459" s="430">
        <v>1.7589999999999999</v>
      </c>
      <c r="S459" s="430"/>
      <c r="T459" s="430">
        <v>1.9359999999999999</v>
      </c>
      <c r="U459" s="430">
        <v>2.0529999999999999</v>
      </c>
      <c r="V459" s="430">
        <v>1.7609999999999999</v>
      </c>
      <c r="W459" s="430"/>
      <c r="X459" s="430">
        <v>2.653</v>
      </c>
      <c r="Y459" s="430">
        <v>3.7629999999999999</v>
      </c>
      <c r="Z459" s="430">
        <v>1.5548980999999999</v>
      </c>
      <c r="AA459" s="430" t="s">
        <v>985</v>
      </c>
      <c r="AB459" s="430" t="s">
        <v>1183</v>
      </c>
      <c r="AC459" s="419" t="s">
        <v>986</v>
      </c>
      <c r="AD459" s="360"/>
      <c r="AE459" s="360"/>
      <c r="AF459" s="360"/>
      <c r="AG459" s="360"/>
      <c r="AH459" s="360"/>
      <c r="AI459" s="360"/>
    </row>
    <row r="460" spans="1:35" hidden="1" x14ac:dyDescent="0.25">
      <c r="A460" s="389"/>
      <c r="B460" s="372"/>
      <c r="C460" s="372"/>
      <c r="D460" s="372"/>
      <c r="E460" s="379"/>
      <c r="F460" s="380"/>
      <c r="G460" s="381"/>
      <c r="H460" s="421"/>
      <c r="I460" s="375"/>
      <c r="J460" s="375"/>
      <c r="K460" s="375"/>
      <c r="L460" s="431">
        <f>Table148[[#This Row],[Ambitious target 2030]]+Table148[[#This Row],[Ambitious target 2030]]*0.5</f>
        <v>0</v>
      </c>
      <c r="M460" s="375"/>
      <c r="N460" s="375"/>
      <c r="O460" s="431"/>
      <c r="P460" s="431"/>
      <c r="Q460" s="431">
        <f>Table148[[#This Row],[Red target]]-Table148[[#This Row],[Red target]]*0.5</f>
        <v>0</v>
      </c>
      <c r="R460" s="431"/>
      <c r="S460" s="431"/>
      <c r="T460" s="431"/>
      <c r="U460" s="431"/>
      <c r="V460" s="431"/>
      <c r="W460" s="431"/>
      <c r="X460" s="431"/>
      <c r="Y460" s="431"/>
      <c r="Z460" s="431"/>
      <c r="AA460" s="375"/>
      <c r="AB460" s="375"/>
      <c r="AC460" s="401"/>
      <c r="AD460" s="360"/>
      <c r="AE460" s="360"/>
      <c r="AF460" s="360"/>
      <c r="AG460" s="360"/>
      <c r="AH460" s="360"/>
      <c r="AI460" s="360"/>
    </row>
    <row r="461" spans="1:35" hidden="1" x14ac:dyDescent="0.25">
      <c r="A461" s="389"/>
      <c r="B461" s="372"/>
      <c r="C461" s="372"/>
      <c r="D461" s="372"/>
      <c r="E461" s="379"/>
      <c r="F461" s="380"/>
      <c r="G461" s="381"/>
      <c r="H461" s="421"/>
      <c r="I461" s="375"/>
      <c r="J461" s="375"/>
      <c r="K461" s="375"/>
      <c r="L461" s="431">
        <f>Table148[[#This Row],[Ambitious target 2030]]+Table148[[#This Row],[Ambitious target 2030]]*0.5</f>
        <v>0</v>
      </c>
      <c r="M461" s="375"/>
      <c r="N461" s="375"/>
      <c r="O461" s="431"/>
      <c r="P461" s="431"/>
      <c r="Q461" s="431">
        <f>Table148[[#This Row],[Red target]]-Table148[[#This Row],[Red target]]*0.5</f>
        <v>0</v>
      </c>
      <c r="R461" s="431"/>
      <c r="S461" s="431"/>
      <c r="T461" s="431"/>
      <c r="U461" s="431"/>
      <c r="V461" s="431"/>
      <c r="W461" s="431"/>
      <c r="X461" s="431"/>
      <c r="Y461" s="431"/>
      <c r="Z461" s="431"/>
      <c r="AA461" s="375"/>
      <c r="AB461" s="375"/>
      <c r="AC461" s="401"/>
      <c r="AD461" s="360"/>
      <c r="AE461" s="360"/>
      <c r="AF461" s="360"/>
      <c r="AG461" s="360"/>
      <c r="AH461" s="360"/>
      <c r="AI461" s="360"/>
    </row>
    <row r="462" spans="1:35" hidden="1" x14ac:dyDescent="0.25">
      <c r="A462" s="389"/>
      <c r="B462" s="372"/>
      <c r="C462" s="372"/>
      <c r="D462" s="372"/>
      <c r="E462" s="379"/>
      <c r="F462" s="380"/>
      <c r="G462" s="381"/>
      <c r="H462" s="421"/>
      <c r="I462" s="375"/>
      <c r="J462" s="375"/>
      <c r="K462" s="375"/>
      <c r="L462" s="431">
        <f>Table148[[#This Row],[Ambitious target 2030]]+Table148[[#This Row],[Ambitious target 2030]]*0.5</f>
        <v>0</v>
      </c>
      <c r="M462" s="375"/>
      <c r="N462" s="375"/>
      <c r="O462" s="431"/>
      <c r="P462" s="431"/>
      <c r="Q462" s="431">
        <f>Table148[[#This Row],[Red target]]-Table148[[#This Row],[Red target]]*0.5</f>
        <v>0</v>
      </c>
      <c r="R462" s="431"/>
      <c r="S462" s="431"/>
      <c r="T462" s="431"/>
      <c r="U462" s="431"/>
      <c r="V462" s="431"/>
      <c r="W462" s="431"/>
      <c r="X462" s="431"/>
      <c r="Y462" s="431"/>
      <c r="Z462" s="431"/>
      <c r="AA462" s="375"/>
      <c r="AB462" s="375"/>
      <c r="AC462" s="401"/>
      <c r="AD462" s="360"/>
      <c r="AE462" s="360"/>
      <c r="AF462" s="360"/>
      <c r="AG462" s="360"/>
      <c r="AH462" s="360"/>
      <c r="AI462" s="360"/>
    </row>
    <row r="463" spans="1:35" hidden="1" x14ac:dyDescent="0.25">
      <c r="A463" s="389"/>
      <c r="B463" s="372"/>
      <c r="C463" s="372"/>
      <c r="D463" s="372"/>
      <c r="E463" s="379"/>
      <c r="F463" s="380"/>
      <c r="G463" s="381"/>
      <c r="H463" s="421"/>
      <c r="I463" s="375"/>
      <c r="J463" s="375"/>
      <c r="K463" s="375"/>
      <c r="L463" s="431">
        <f>Table148[[#This Row],[Ambitious target 2030]]+Table148[[#This Row],[Ambitious target 2030]]*0.5</f>
        <v>0</v>
      </c>
      <c r="M463" s="375"/>
      <c r="N463" s="375"/>
      <c r="O463" s="431"/>
      <c r="P463" s="431"/>
      <c r="Q463" s="431">
        <f>Table148[[#This Row],[Red target]]-Table148[[#This Row],[Red target]]*0.5</f>
        <v>0</v>
      </c>
      <c r="R463" s="431"/>
      <c r="S463" s="431"/>
      <c r="T463" s="431"/>
      <c r="U463" s="431"/>
      <c r="V463" s="431"/>
      <c r="W463" s="431"/>
      <c r="X463" s="431"/>
      <c r="Y463" s="431"/>
      <c r="Z463" s="431"/>
      <c r="AA463" s="375"/>
      <c r="AB463" s="375"/>
      <c r="AC463" s="401"/>
      <c r="AD463" s="360"/>
      <c r="AE463" s="360"/>
      <c r="AF463" s="360"/>
      <c r="AG463" s="360"/>
      <c r="AH463" s="360"/>
      <c r="AI463" s="360"/>
    </row>
    <row r="464" spans="1:35" hidden="1" x14ac:dyDescent="0.25">
      <c r="A464" s="389"/>
      <c r="B464" s="372"/>
      <c r="C464" s="372"/>
      <c r="D464" s="372"/>
      <c r="E464" s="379"/>
      <c r="F464" s="380"/>
      <c r="G464" s="381"/>
      <c r="H464" s="421"/>
      <c r="I464" s="375"/>
      <c r="J464" s="375"/>
      <c r="K464" s="375"/>
      <c r="L464" s="431">
        <f>Table148[[#This Row],[Ambitious target 2030]]+Table148[[#This Row],[Ambitious target 2030]]*0.5</f>
        <v>0</v>
      </c>
      <c r="M464" s="375"/>
      <c r="N464" s="375"/>
      <c r="O464" s="431"/>
      <c r="P464" s="431"/>
      <c r="Q464" s="431">
        <f>Table148[[#This Row],[Red target]]-Table148[[#This Row],[Red target]]*0.5</f>
        <v>0</v>
      </c>
      <c r="R464" s="431"/>
      <c r="S464" s="431"/>
      <c r="T464" s="431"/>
      <c r="U464" s="431"/>
      <c r="V464" s="431"/>
      <c r="W464" s="431"/>
      <c r="X464" s="431"/>
      <c r="Y464" s="431"/>
      <c r="Z464" s="431"/>
      <c r="AA464" s="375"/>
      <c r="AB464" s="375"/>
      <c r="AC464" s="401"/>
      <c r="AD464" s="360"/>
      <c r="AE464" s="360"/>
      <c r="AF464" s="360"/>
      <c r="AG464" s="360"/>
      <c r="AH464" s="360"/>
      <c r="AI464" s="360"/>
    </row>
    <row r="465" spans="1:35" hidden="1" x14ac:dyDescent="0.25">
      <c r="A465" s="389"/>
      <c r="B465" s="372"/>
      <c r="C465" s="372"/>
      <c r="D465" s="372"/>
      <c r="E465" s="382"/>
      <c r="F465" s="383"/>
      <c r="G465" s="384"/>
      <c r="H465" s="421"/>
      <c r="I465" s="375"/>
      <c r="J465" s="375"/>
      <c r="K465" s="375"/>
      <c r="L465" s="431">
        <f>Table148[[#This Row],[Ambitious target 2030]]+Table148[[#This Row],[Ambitious target 2030]]*0.5</f>
        <v>0</v>
      </c>
      <c r="M465" s="375"/>
      <c r="N465" s="375"/>
      <c r="O465" s="431"/>
      <c r="P465" s="431"/>
      <c r="Q465" s="431">
        <f>Table148[[#This Row],[Red target]]-Table148[[#This Row],[Red target]]*0.5</f>
        <v>0</v>
      </c>
      <c r="R465" s="431"/>
      <c r="S465" s="431"/>
      <c r="T465" s="431"/>
      <c r="U465" s="431"/>
      <c r="V465" s="431"/>
      <c r="W465" s="431"/>
      <c r="X465" s="431"/>
      <c r="Y465" s="431"/>
      <c r="Z465" s="431"/>
      <c r="AA465" s="375"/>
      <c r="AB465" s="375"/>
      <c r="AC465" s="401"/>
      <c r="AD465" s="360"/>
      <c r="AE465" s="360"/>
      <c r="AF465" s="360"/>
      <c r="AG465" s="360"/>
      <c r="AH465" s="360"/>
      <c r="AI465" s="360"/>
    </row>
    <row r="466" spans="1:35" hidden="1" x14ac:dyDescent="0.25">
      <c r="A466" s="389"/>
      <c r="B466" s="372"/>
      <c r="C466" s="372"/>
      <c r="D466" s="372"/>
      <c r="E466" s="382"/>
      <c r="F466" s="383"/>
      <c r="G466" s="384"/>
      <c r="H466" s="421"/>
      <c r="I466" s="375"/>
      <c r="J466" s="375"/>
      <c r="K466" s="375"/>
      <c r="L466" s="431">
        <f>Table148[[#This Row],[Ambitious target 2030]]+Table148[[#This Row],[Ambitious target 2030]]*0.5</f>
        <v>0</v>
      </c>
      <c r="M466" s="375"/>
      <c r="N466" s="375"/>
      <c r="O466" s="431"/>
      <c r="P466" s="431"/>
      <c r="Q466" s="431">
        <f>Table148[[#This Row],[Red target]]-Table148[[#This Row],[Red target]]*0.5</f>
        <v>0</v>
      </c>
      <c r="R466" s="431"/>
      <c r="S466" s="431"/>
      <c r="T466" s="431"/>
      <c r="U466" s="431"/>
      <c r="V466" s="431"/>
      <c r="W466" s="431"/>
      <c r="X466" s="431"/>
      <c r="Y466" s="431"/>
      <c r="Z466" s="431"/>
      <c r="AA466" s="375"/>
      <c r="AB466" s="375"/>
      <c r="AC466" s="401"/>
      <c r="AD466" s="360"/>
      <c r="AE466" s="360"/>
      <c r="AF466" s="360"/>
      <c r="AG466" s="360"/>
      <c r="AH466" s="360"/>
      <c r="AI466" s="360"/>
    </row>
    <row r="467" spans="1:35" hidden="1" x14ac:dyDescent="0.25">
      <c r="A467" s="389"/>
      <c r="B467" s="372"/>
      <c r="C467" s="372"/>
      <c r="D467" s="372"/>
      <c r="E467" s="382"/>
      <c r="F467" s="383"/>
      <c r="G467" s="384"/>
      <c r="H467" s="421"/>
      <c r="I467" s="375"/>
      <c r="J467" s="375"/>
      <c r="K467" s="375"/>
      <c r="L467" s="431">
        <f>Table148[[#This Row],[Ambitious target 2030]]+Table148[[#This Row],[Ambitious target 2030]]*0.5</f>
        <v>0</v>
      </c>
      <c r="M467" s="375"/>
      <c r="N467" s="375"/>
      <c r="O467" s="431"/>
      <c r="P467" s="431"/>
      <c r="Q467" s="431">
        <f>Table148[[#This Row],[Red target]]-Table148[[#This Row],[Red target]]*0.5</f>
        <v>0</v>
      </c>
      <c r="R467" s="431"/>
      <c r="S467" s="431"/>
      <c r="T467" s="431"/>
      <c r="U467" s="431"/>
      <c r="V467" s="431"/>
      <c r="W467" s="431"/>
      <c r="X467" s="431"/>
      <c r="Y467" s="431"/>
      <c r="Z467" s="431"/>
      <c r="AA467" s="375"/>
      <c r="AB467" s="375"/>
      <c r="AC467" s="401"/>
      <c r="AD467" s="360"/>
      <c r="AE467" s="360"/>
      <c r="AF467" s="360"/>
      <c r="AG467" s="360"/>
      <c r="AH467" s="360"/>
      <c r="AI467" s="360"/>
    </row>
    <row r="468" spans="1:35" hidden="1" x14ac:dyDescent="0.25">
      <c r="A468" s="389"/>
      <c r="B468" s="372"/>
      <c r="C468" s="372"/>
      <c r="D468" s="372"/>
      <c r="E468" s="382"/>
      <c r="F468" s="383"/>
      <c r="G468" s="384"/>
      <c r="H468" s="421"/>
      <c r="I468" s="375"/>
      <c r="J468" s="375"/>
      <c r="K468" s="375"/>
      <c r="L468" s="431">
        <f>Table148[[#This Row],[Ambitious target 2030]]+Table148[[#This Row],[Ambitious target 2030]]*0.5</f>
        <v>0</v>
      </c>
      <c r="M468" s="375"/>
      <c r="N468" s="375"/>
      <c r="O468" s="431"/>
      <c r="P468" s="431"/>
      <c r="Q468" s="431">
        <f>Table148[[#This Row],[Red target]]-Table148[[#This Row],[Red target]]*0.5</f>
        <v>0</v>
      </c>
      <c r="R468" s="431"/>
      <c r="S468" s="431"/>
      <c r="T468" s="431"/>
      <c r="U468" s="431"/>
      <c r="V468" s="431"/>
      <c r="W468" s="431"/>
      <c r="X468" s="431"/>
      <c r="Y468" s="431"/>
      <c r="Z468" s="431"/>
      <c r="AA468" s="375"/>
      <c r="AB468" s="375"/>
      <c r="AC468" s="401"/>
      <c r="AD468" s="360"/>
      <c r="AE468" s="360"/>
      <c r="AF468" s="360"/>
      <c r="AG468" s="360"/>
      <c r="AH468" s="360"/>
      <c r="AI468" s="360"/>
    </row>
    <row r="469" spans="1:35" hidden="1" x14ac:dyDescent="0.25">
      <c r="A469" s="389"/>
      <c r="B469" s="372"/>
      <c r="C469" s="372"/>
      <c r="D469" s="372"/>
      <c r="E469" s="382"/>
      <c r="F469" s="383"/>
      <c r="G469" s="384"/>
      <c r="H469" s="421"/>
      <c r="I469" s="375"/>
      <c r="J469" s="375"/>
      <c r="K469" s="375"/>
      <c r="L469" s="431">
        <f>Table148[[#This Row],[Ambitious target 2030]]+Table148[[#This Row],[Ambitious target 2030]]*0.5</f>
        <v>0</v>
      </c>
      <c r="M469" s="375"/>
      <c r="N469" s="375"/>
      <c r="O469" s="431"/>
      <c r="P469" s="431"/>
      <c r="Q469" s="431">
        <f>Table148[[#This Row],[Red target]]-Table148[[#This Row],[Red target]]*0.5</f>
        <v>0</v>
      </c>
      <c r="R469" s="431"/>
      <c r="S469" s="431"/>
      <c r="T469" s="431"/>
      <c r="U469" s="431"/>
      <c r="V469" s="431"/>
      <c r="W469" s="431"/>
      <c r="X469" s="431"/>
      <c r="Y469" s="431"/>
      <c r="Z469" s="431"/>
      <c r="AA469" s="375"/>
      <c r="AB469" s="375"/>
      <c r="AC469" s="401"/>
      <c r="AD469" s="360"/>
      <c r="AE469" s="360"/>
      <c r="AF469" s="360"/>
      <c r="AG469" s="360"/>
      <c r="AH469" s="360"/>
      <c r="AI469" s="360"/>
    </row>
    <row r="470" spans="1:35" s="386" customFormat="1" hidden="1" x14ac:dyDescent="0.25">
      <c r="A470" s="409"/>
      <c r="B470" s="406"/>
      <c r="C470" s="406"/>
      <c r="D470" s="406"/>
      <c r="E470" s="407">
        <v>2014</v>
      </c>
      <c r="F470" s="407">
        <v>2015</v>
      </c>
      <c r="G470" s="407">
        <v>2016</v>
      </c>
      <c r="H470" s="407"/>
      <c r="I470" s="407"/>
      <c r="J470" s="407"/>
      <c r="K470" s="407"/>
      <c r="L470" s="407">
        <f>Table148[[#This Row],[Ambitious target 2030]]+Table148[[#This Row],[Ambitious target 2030]]*0.5</f>
        <v>0</v>
      </c>
      <c r="M470" s="407"/>
      <c r="N470" s="407"/>
      <c r="O470" s="407"/>
      <c r="P470" s="407"/>
      <c r="Q470" s="407">
        <f>Table148[[#This Row],[Red target]]-Table148[[#This Row],[Red target]]*0.5</f>
        <v>0</v>
      </c>
      <c r="R470" s="407"/>
      <c r="S470" s="407"/>
      <c r="T470" s="407"/>
      <c r="U470" s="407"/>
      <c r="V470" s="407"/>
      <c r="W470" s="407"/>
      <c r="X470" s="407"/>
      <c r="Y470" s="407"/>
      <c r="Z470" s="407"/>
      <c r="AA470" s="407"/>
      <c r="AB470" s="407"/>
      <c r="AC470" s="413"/>
    </row>
    <row r="471" spans="1:35" x14ac:dyDescent="0.25">
      <c r="A471" s="418" t="s">
        <v>879</v>
      </c>
      <c r="B471" s="437" t="s">
        <v>881</v>
      </c>
      <c r="C471" s="437" t="s">
        <v>473</v>
      </c>
      <c r="D471" s="436" t="s">
        <v>904</v>
      </c>
      <c r="E471" s="420">
        <v>30.769568040539401</v>
      </c>
      <c r="F471" s="420">
        <v>30.744264405397601</v>
      </c>
      <c r="G471" s="420">
        <v>30.716420940782999</v>
      </c>
      <c r="H471" s="421">
        <v>2015</v>
      </c>
      <c r="I471" s="421">
        <v>30.744264405397601</v>
      </c>
      <c r="J471" s="421">
        <v>2015</v>
      </c>
      <c r="K471" s="411">
        <v>30.037500000000001</v>
      </c>
      <c r="L471" s="411">
        <f>Table148[[#This Row],[Ambitious target 2030]]+Table148[[#This Row],[Ambitious target 2030]]*0.5</f>
        <v>49.344544370663151</v>
      </c>
      <c r="M471" s="421">
        <f>Table148[[#This Row],[Data reference value]]+Table148[[#This Row],[Data reference value]]*Table148[[#This Row],[Ambitious target improvement rate 2030]]</f>
        <v>32.896362913775434</v>
      </c>
      <c r="N471" s="421">
        <v>7.0000000000000007E-2</v>
      </c>
      <c r="O471" s="421">
        <f>(Table148[[#This Row],[Ambitious target 2030]]-Table148[[#This Row],[Model reference value]])*0.5+Table148[[#This Row],[Model reference value]]</f>
        <v>31.466931456887718</v>
      </c>
      <c r="P471" s="421">
        <f>(Table148[[#This Row],[Ambitious target 2030]]-Table148[[#This Row],[Model reference value]])*0.25+Table148[[#This Row],[Model reference value]]</f>
        <v>30.752215728443858</v>
      </c>
      <c r="Q471" s="421">
        <f>Table148[[#This Row],[Red target]]-Table148[[#This Row],[Red target]]*0.5</f>
        <v>15.018750000000001</v>
      </c>
      <c r="R471" s="421">
        <f>Table148[[#This Row],[Data reference value]]+Table148[[#This Row],[Data reference value]]*Table148[[#This Row],[Ambitious target improvement rate 2050]]</f>
        <v>35.355904066207245</v>
      </c>
      <c r="S471" s="421">
        <v>0.15</v>
      </c>
      <c r="T471" s="421">
        <f>(Table148[[#This Row],[Ambitious target 2050]]-Table148[[#This Row],[Model reference value]])*0.5+Table148[[#This Row],[Model reference value]]</f>
        <v>32.69670203310362</v>
      </c>
      <c r="U471" s="421">
        <f>(Table148[[#This Row],[Ambitious target 2050]]-Table148[[#This Row],[Model reference value]])*0.25+Table148[[#This Row],[Model reference value]]</f>
        <v>31.367101016551814</v>
      </c>
      <c r="V471" s="421">
        <f>Table148[[#This Row],[Data reference value]]+Table148[[#This Row],[Data reference value]]*Table148[[#This Row],[Ambitious target improvement rate 2100]]</f>
        <v>39.967543727016881</v>
      </c>
      <c r="W471" s="421">
        <v>0.3</v>
      </c>
      <c r="X471" s="421">
        <f>(Table148[[#This Row],[Ambitious target 2100]]-Table148[[#This Row],[Model reference value]])*0.5+Table148[[#This Row],[Model reference value]]</f>
        <v>35.002521863508441</v>
      </c>
      <c r="Y471" s="421">
        <f>(Table148[[#This Row],[Ambitious target 2100]]-Table148[[#This Row],[Model reference value]])*0.25+Table148[[#This Row],[Model reference value]]</f>
        <v>32.520010931754221</v>
      </c>
      <c r="Z471" s="421">
        <f>Table148[[#This Row],[Model reference value]]</f>
        <v>30.037500000000001</v>
      </c>
      <c r="AA471" s="421" t="s">
        <v>1140</v>
      </c>
      <c r="AB471" s="421"/>
      <c r="AC471" s="419" t="s">
        <v>687</v>
      </c>
      <c r="AD471" s="371" t="s">
        <v>936</v>
      </c>
      <c r="AE471" s="360"/>
      <c r="AF471" s="360"/>
      <c r="AG471" s="360"/>
      <c r="AH471" s="360"/>
      <c r="AI471" s="360"/>
    </row>
    <row r="472" spans="1:35" hidden="1" x14ac:dyDescent="0.25">
      <c r="A472" s="390"/>
      <c r="B472" s="369"/>
      <c r="C472" s="369"/>
      <c r="D472" s="369" t="s">
        <v>668</v>
      </c>
      <c r="E472" s="379">
        <v>74.110764433268599</v>
      </c>
      <c r="F472" s="380">
        <v>74.104579781831006</v>
      </c>
      <c r="G472" s="381">
        <v>74.098395130393499</v>
      </c>
      <c r="H472" s="421"/>
      <c r="I472" s="375"/>
      <c r="J472" s="375"/>
      <c r="K472" s="375"/>
      <c r="L472" s="375">
        <f>Table148[[#This Row],[Ambitious target 2030]]+Table148[[#This Row],[Ambitious target 2030]]*0.5</f>
        <v>0</v>
      </c>
      <c r="M472" s="375"/>
      <c r="N472" s="375"/>
      <c r="O472" s="375"/>
      <c r="P472" s="375"/>
      <c r="Q472" s="375">
        <f>Table148[[#This Row],[Red target]]-Table148[[#This Row],[Red target]]*0.5</f>
        <v>0</v>
      </c>
      <c r="R472" s="375"/>
      <c r="S472" s="375"/>
      <c r="T472" s="375"/>
      <c r="U472" s="375"/>
      <c r="V472" s="375"/>
      <c r="W472" s="375"/>
      <c r="X472" s="375"/>
      <c r="Y472" s="375"/>
      <c r="Z472" s="375"/>
      <c r="AA472" s="375"/>
      <c r="AB472" s="375"/>
      <c r="AC472" s="396"/>
      <c r="AD472" s="360"/>
      <c r="AE472" s="360"/>
      <c r="AF472" s="360"/>
      <c r="AG472" s="360"/>
      <c r="AH472" s="360"/>
      <c r="AI472" s="360"/>
    </row>
    <row r="473" spans="1:35" hidden="1" x14ac:dyDescent="0.25">
      <c r="A473" s="390"/>
      <c r="B473" s="369"/>
      <c r="C473" s="369"/>
      <c r="D473" s="369" t="s">
        <v>669</v>
      </c>
      <c r="E473" s="379">
        <v>73.111981309026305</v>
      </c>
      <c r="F473" s="380">
        <v>73.107169885821506</v>
      </c>
      <c r="G473" s="381">
        <v>73.107169885821506</v>
      </c>
      <c r="H473" s="421"/>
      <c r="I473" s="375"/>
      <c r="J473" s="375"/>
      <c r="K473" s="375"/>
      <c r="L473" s="375">
        <f>Table148[[#This Row],[Ambitious target 2030]]+Table148[[#This Row],[Ambitious target 2030]]*0.5</f>
        <v>0</v>
      </c>
      <c r="M473" s="375"/>
      <c r="N473" s="375"/>
      <c r="O473" s="375"/>
      <c r="P473" s="375"/>
      <c r="Q473" s="375">
        <f>Table148[[#This Row],[Red target]]-Table148[[#This Row],[Red target]]*0.5</f>
        <v>0</v>
      </c>
      <c r="R473" s="375"/>
      <c r="S473" s="375"/>
      <c r="T473" s="375"/>
      <c r="U473" s="375"/>
      <c r="V473" s="375"/>
      <c r="W473" s="375"/>
      <c r="X473" s="375"/>
      <c r="Y473" s="375"/>
      <c r="Z473" s="375"/>
      <c r="AA473" s="375"/>
      <c r="AB473" s="375"/>
      <c r="AC473" s="396"/>
      <c r="AD473" s="360"/>
      <c r="AE473" s="360"/>
      <c r="AF473" s="360"/>
      <c r="AG473" s="360"/>
      <c r="AH473" s="360"/>
      <c r="AI473" s="360"/>
    </row>
    <row r="474" spans="1:35" hidden="1" x14ac:dyDescent="0.25">
      <c r="A474" s="390"/>
      <c r="B474" s="369"/>
      <c r="C474" s="369"/>
      <c r="D474" s="369" t="s">
        <v>670</v>
      </c>
      <c r="E474" s="379">
        <v>72.015374896486705</v>
      </c>
      <c r="F474" s="380">
        <v>72.275624181636999</v>
      </c>
      <c r="G474" s="381">
        <v>72.484536714605994</v>
      </c>
      <c r="H474" s="421"/>
      <c r="I474" s="375"/>
      <c r="J474" s="375"/>
      <c r="K474" s="375"/>
      <c r="L474" s="375">
        <f>Table148[[#This Row],[Ambitious target 2030]]+Table148[[#This Row],[Ambitious target 2030]]*0.5</f>
        <v>0</v>
      </c>
      <c r="M474" s="375"/>
      <c r="N474" s="375"/>
      <c r="O474" s="375"/>
      <c r="P474" s="375"/>
      <c r="Q474" s="375">
        <f>Table148[[#This Row],[Red target]]-Table148[[#This Row],[Red target]]*0.5</f>
        <v>0</v>
      </c>
      <c r="R474" s="375"/>
      <c r="S474" s="375"/>
      <c r="T474" s="375"/>
      <c r="U474" s="375"/>
      <c r="V474" s="375"/>
      <c r="W474" s="375"/>
      <c r="X474" s="375"/>
      <c r="Y474" s="375"/>
      <c r="Z474" s="375"/>
      <c r="AA474" s="375"/>
      <c r="AB474" s="375"/>
      <c r="AC474" s="396"/>
      <c r="AD474" s="360"/>
      <c r="AE474" s="360"/>
      <c r="AF474" s="360"/>
      <c r="AG474" s="360"/>
      <c r="AH474" s="360"/>
      <c r="AI474" s="360"/>
    </row>
    <row r="475" spans="1:35" hidden="1" x14ac:dyDescent="0.25">
      <c r="A475" s="390"/>
      <c r="B475" s="369"/>
      <c r="C475" s="369"/>
      <c r="D475" s="369" t="s">
        <v>671</v>
      </c>
      <c r="E475" s="379">
        <v>68.922933392256496</v>
      </c>
      <c r="F475" s="380">
        <v>68.922933392256496</v>
      </c>
      <c r="G475" s="381">
        <v>68.922933392256496</v>
      </c>
      <c r="H475" s="421"/>
      <c r="I475" s="375"/>
      <c r="J475" s="375"/>
      <c r="K475" s="375"/>
      <c r="L475" s="375">
        <f>Table148[[#This Row],[Ambitious target 2030]]+Table148[[#This Row],[Ambitious target 2030]]*0.5</f>
        <v>0</v>
      </c>
      <c r="M475" s="375"/>
      <c r="N475" s="375"/>
      <c r="O475" s="375"/>
      <c r="P475" s="375"/>
      <c r="Q475" s="375">
        <f>Table148[[#This Row],[Red target]]-Table148[[#This Row],[Red target]]*0.5</f>
        <v>0</v>
      </c>
      <c r="R475" s="375"/>
      <c r="S475" s="375"/>
      <c r="T475" s="375"/>
      <c r="U475" s="375"/>
      <c r="V475" s="375"/>
      <c r="W475" s="375"/>
      <c r="X475" s="375"/>
      <c r="Y475" s="375"/>
      <c r="Z475" s="375"/>
      <c r="AA475" s="375"/>
      <c r="AB475" s="375"/>
      <c r="AC475" s="396"/>
      <c r="AD475" s="360"/>
      <c r="AE475" s="360"/>
      <c r="AF475" s="360"/>
      <c r="AG475" s="360"/>
      <c r="AH475" s="360"/>
      <c r="AI475" s="360"/>
    </row>
    <row r="476" spans="1:35" hidden="1" x14ac:dyDescent="0.25">
      <c r="A476" s="390"/>
      <c r="B476" s="369"/>
      <c r="C476" s="369"/>
      <c r="D476" s="369" t="s">
        <v>672</v>
      </c>
      <c r="E476" s="379">
        <v>67.511187889971097</v>
      </c>
      <c r="F476" s="380">
        <v>67.554405722112307</v>
      </c>
      <c r="G476" s="381">
        <v>67.597623554253502</v>
      </c>
      <c r="H476" s="421"/>
      <c r="I476" s="375"/>
      <c r="J476" s="375"/>
      <c r="K476" s="375"/>
      <c r="L476" s="375">
        <f>Table148[[#This Row],[Ambitious target 2030]]+Table148[[#This Row],[Ambitious target 2030]]*0.5</f>
        <v>0</v>
      </c>
      <c r="M476" s="375"/>
      <c r="N476" s="375"/>
      <c r="O476" s="375"/>
      <c r="P476" s="375"/>
      <c r="Q476" s="375">
        <f>Table148[[#This Row],[Red target]]-Table148[[#This Row],[Red target]]*0.5</f>
        <v>0</v>
      </c>
      <c r="R476" s="375"/>
      <c r="S476" s="375"/>
      <c r="T476" s="375"/>
      <c r="U476" s="375"/>
      <c r="V476" s="375"/>
      <c r="W476" s="375"/>
      <c r="X476" s="375"/>
      <c r="Y476" s="375"/>
      <c r="Z476" s="375"/>
      <c r="AA476" s="375"/>
      <c r="AB476" s="375"/>
      <c r="AC476" s="396"/>
      <c r="AD476" s="360"/>
      <c r="AE476" s="360"/>
      <c r="AF476" s="360"/>
      <c r="AG476" s="360"/>
      <c r="AH476" s="360"/>
      <c r="AI476" s="360"/>
    </row>
    <row r="477" spans="1:35" hidden="1" x14ac:dyDescent="0.25">
      <c r="A477" s="390"/>
      <c r="B477" s="369"/>
      <c r="C477" s="369"/>
      <c r="D477" s="369" t="s">
        <v>673</v>
      </c>
      <c r="E477" s="382">
        <v>7.2730927244842994E-2</v>
      </c>
      <c r="F477" s="383">
        <v>7.3333668190265697E-2</v>
      </c>
      <c r="G477" s="384">
        <v>7.3936409135688497E-2</v>
      </c>
      <c r="H477" s="421"/>
      <c r="I477" s="375"/>
      <c r="J477" s="375"/>
      <c r="K477" s="375"/>
      <c r="L477" s="375">
        <f>Table148[[#This Row],[Ambitious target 2030]]+Table148[[#This Row],[Ambitious target 2030]]*0.5</f>
        <v>0</v>
      </c>
      <c r="M477" s="375"/>
      <c r="N477" s="375"/>
      <c r="O477" s="375"/>
      <c r="P477" s="375"/>
      <c r="Q477" s="375">
        <f>Table148[[#This Row],[Red target]]-Table148[[#This Row],[Red target]]*0.5</f>
        <v>0</v>
      </c>
      <c r="R477" s="375"/>
      <c r="S477" s="375"/>
      <c r="T477" s="375"/>
      <c r="U477" s="375"/>
      <c r="V477" s="375"/>
      <c r="W477" s="375"/>
      <c r="X477" s="375"/>
      <c r="Y477" s="375"/>
      <c r="Z477" s="375"/>
      <c r="AA477" s="375"/>
      <c r="AB477" s="375"/>
      <c r="AC477" s="396"/>
      <c r="AD477" s="360"/>
      <c r="AE477" s="360"/>
      <c r="AF477" s="360"/>
      <c r="AG477" s="360"/>
      <c r="AH477" s="360"/>
      <c r="AI477" s="360"/>
    </row>
    <row r="478" spans="1:35" hidden="1" x14ac:dyDescent="0.25">
      <c r="A478" s="390"/>
      <c r="B478" s="369"/>
      <c r="C478" s="369"/>
      <c r="D478" s="369" t="s">
        <v>674</v>
      </c>
      <c r="E478" s="382">
        <v>0.123327687918433</v>
      </c>
      <c r="F478" s="383">
        <v>0.123327687918433</v>
      </c>
      <c r="G478" s="384">
        <v>0.123327687918433</v>
      </c>
      <c r="H478" s="421"/>
      <c r="I478" s="375"/>
      <c r="J478" s="375"/>
      <c r="K478" s="375"/>
      <c r="L478" s="375">
        <f>Table148[[#This Row],[Ambitious target 2030]]+Table148[[#This Row],[Ambitious target 2030]]*0.5</f>
        <v>0</v>
      </c>
      <c r="M478" s="375"/>
      <c r="N478" s="375"/>
      <c r="O478" s="375"/>
      <c r="P478" s="375"/>
      <c r="Q478" s="375">
        <f>Table148[[#This Row],[Red target]]-Table148[[#This Row],[Red target]]*0.5</f>
        <v>0</v>
      </c>
      <c r="R478" s="375"/>
      <c r="S478" s="375"/>
      <c r="T478" s="375"/>
      <c r="U478" s="375"/>
      <c r="V478" s="375"/>
      <c r="W478" s="375"/>
      <c r="X478" s="375"/>
      <c r="Y478" s="375"/>
      <c r="Z478" s="375"/>
      <c r="AA478" s="375"/>
      <c r="AB478" s="375"/>
      <c r="AC478" s="396"/>
      <c r="AD478" s="360"/>
      <c r="AE478" s="360"/>
      <c r="AF478" s="360"/>
      <c r="AG478" s="360"/>
      <c r="AH478" s="360"/>
      <c r="AI478" s="360"/>
    </row>
    <row r="479" spans="1:35" hidden="1" x14ac:dyDescent="0.25">
      <c r="A479" s="390"/>
      <c r="B479" s="369"/>
      <c r="C479" s="369"/>
      <c r="D479" s="369" t="s">
        <v>675</v>
      </c>
      <c r="E479" s="382">
        <v>0.81805739686702195</v>
      </c>
      <c r="F479" s="383">
        <v>0.82124833105208805</v>
      </c>
      <c r="G479" s="384">
        <v>0.82443926523715405</v>
      </c>
      <c r="H479" s="421"/>
      <c r="I479" s="375"/>
      <c r="J479" s="375"/>
      <c r="K479" s="375"/>
      <c r="L479" s="375">
        <f>Table148[[#This Row],[Ambitious target 2030]]+Table148[[#This Row],[Ambitious target 2030]]*0.5</f>
        <v>0</v>
      </c>
      <c r="M479" s="375"/>
      <c r="N479" s="375"/>
      <c r="O479" s="375"/>
      <c r="P479" s="375"/>
      <c r="Q479" s="375">
        <f>Table148[[#This Row],[Red target]]-Table148[[#This Row],[Red target]]*0.5</f>
        <v>0</v>
      </c>
      <c r="R479" s="375"/>
      <c r="S479" s="375"/>
      <c r="T479" s="375"/>
      <c r="U479" s="375"/>
      <c r="V479" s="375"/>
      <c r="W479" s="375"/>
      <c r="X479" s="375"/>
      <c r="Y479" s="375"/>
      <c r="Z479" s="375"/>
      <c r="AA479" s="375"/>
      <c r="AB479" s="375"/>
      <c r="AC479" s="396"/>
      <c r="AD479" s="360"/>
      <c r="AE479" s="360"/>
      <c r="AF479" s="360"/>
      <c r="AG479" s="360"/>
      <c r="AH479" s="360"/>
      <c r="AI479" s="360"/>
    </row>
    <row r="480" spans="1:35" hidden="1" x14ac:dyDescent="0.25">
      <c r="A480" s="390"/>
      <c r="B480" s="369"/>
      <c r="C480" s="369"/>
      <c r="D480" s="369" t="s">
        <v>676</v>
      </c>
      <c r="E480" s="382">
        <v>0.91134445757800597</v>
      </c>
      <c r="F480" s="383">
        <v>0.90155522223099405</v>
      </c>
      <c r="G480" s="384">
        <v>0.89176598688398201</v>
      </c>
      <c r="H480" s="421"/>
      <c r="I480" s="375"/>
      <c r="J480" s="375"/>
      <c r="K480" s="375"/>
      <c r="L480" s="375">
        <f>Table148[[#This Row],[Ambitious target 2030]]+Table148[[#This Row],[Ambitious target 2030]]*0.5</f>
        <v>0</v>
      </c>
      <c r="M480" s="375"/>
      <c r="N480" s="375"/>
      <c r="O480" s="375"/>
      <c r="P480" s="375"/>
      <c r="Q480" s="375">
        <f>Table148[[#This Row],[Red target]]-Table148[[#This Row],[Red target]]*0.5</f>
        <v>0</v>
      </c>
      <c r="R480" s="375"/>
      <c r="S480" s="375"/>
      <c r="T480" s="375"/>
      <c r="U480" s="375"/>
      <c r="V480" s="375"/>
      <c r="W480" s="375"/>
      <c r="X480" s="375"/>
      <c r="Y480" s="375"/>
      <c r="Z480" s="375"/>
      <c r="AA480" s="375"/>
      <c r="AB480" s="375"/>
      <c r="AC480" s="396"/>
      <c r="AD480" s="360"/>
      <c r="AE480" s="360"/>
      <c r="AF480" s="360"/>
      <c r="AG480" s="360"/>
      <c r="AH480" s="360"/>
      <c r="AI480" s="360"/>
    </row>
    <row r="481" spans="1:35" hidden="1" x14ac:dyDescent="0.25">
      <c r="A481" s="390"/>
      <c r="B481" s="369"/>
      <c r="C481" s="369"/>
      <c r="D481" s="369" t="s">
        <v>677</v>
      </c>
      <c r="E481" s="382">
        <v>1.22569174352706</v>
      </c>
      <c r="F481" s="383">
        <v>1.22569174352706</v>
      </c>
      <c r="G481" s="384">
        <v>1.22569174352706</v>
      </c>
      <c r="H481" s="421"/>
      <c r="I481" s="375"/>
      <c r="J481" s="375"/>
      <c r="K481" s="375"/>
      <c r="L481" s="375">
        <f>Table148[[#This Row],[Ambitious target 2030]]+Table148[[#This Row],[Ambitious target 2030]]*0.5</f>
        <v>0</v>
      </c>
      <c r="M481" s="375"/>
      <c r="N481" s="375"/>
      <c r="O481" s="375"/>
      <c r="P481" s="375"/>
      <c r="Q481" s="375">
        <f>Table148[[#This Row],[Red target]]-Table148[[#This Row],[Red target]]*0.5</f>
        <v>0</v>
      </c>
      <c r="R481" s="375"/>
      <c r="S481" s="375"/>
      <c r="T481" s="375"/>
      <c r="U481" s="375"/>
      <c r="V481" s="375"/>
      <c r="W481" s="375"/>
      <c r="X481" s="375"/>
      <c r="Y481" s="375"/>
      <c r="Z481" s="375"/>
      <c r="AA481" s="375"/>
      <c r="AB481" s="375"/>
      <c r="AC481" s="396"/>
      <c r="AD481" s="360"/>
      <c r="AE481" s="360"/>
      <c r="AF481" s="360"/>
      <c r="AG481" s="360"/>
      <c r="AH481" s="360"/>
      <c r="AI481" s="360"/>
    </row>
    <row r="482" spans="1:35" s="387" customFormat="1" hidden="1" x14ac:dyDescent="0.25">
      <c r="A482" s="410"/>
      <c r="B482" s="415"/>
      <c r="C482" s="415"/>
      <c r="D482" s="415"/>
      <c r="E482" s="417">
        <v>2005</v>
      </c>
      <c r="F482" s="417">
        <v>2010</v>
      </c>
      <c r="G482" s="417">
        <v>2020</v>
      </c>
      <c r="H482" s="417"/>
      <c r="I482" s="417"/>
      <c r="J482" s="417"/>
      <c r="K482" s="417"/>
      <c r="L482" s="417">
        <f>Table148[[#This Row],[Ambitious target 2030]]+Table148[[#This Row],[Ambitious target 2030]]*0.5</f>
        <v>0</v>
      </c>
      <c r="M482" s="417"/>
      <c r="N482" s="417"/>
      <c r="O482" s="417"/>
      <c r="P482" s="417"/>
      <c r="Q482" s="417">
        <f>Table148[[#This Row],[Red target]]-Table148[[#This Row],[Red target]]*0.5</f>
        <v>0</v>
      </c>
      <c r="R482" s="417"/>
      <c r="S482" s="417"/>
      <c r="T482" s="417"/>
      <c r="U482" s="417"/>
      <c r="V482" s="417"/>
      <c r="W482" s="417"/>
      <c r="X482" s="417"/>
      <c r="Y482" s="417"/>
      <c r="Z482" s="417"/>
      <c r="AA482" s="417"/>
      <c r="AB482" s="417"/>
      <c r="AC482" s="412"/>
    </row>
    <row r="483" spans="1:35" s="362" customFormat="1" x14ac:dyDescent="0.25">
      <c r="A483" s="418" t="s">
        <v>964</v>
      </c>
      <c r="B483" s="436" t="s">
        <v>28</v>
      </c>
      <c r="C483" s="437" t="s">
        <v>965</v>
      </c>
      <c r="D483" s="436" t="s">
        <v>904</v>
      </c>
      <c r="E483" s="420">
        <v>3725.0472</v>
      </c>
      <c r="F483" s="420">
        <v>3708.1455999999998</v>
      </c>
      <c r="G483" s="420">
        <v>3697.7395999999999</v>
      </c>
      <c r="H483" s="421">
        <v>2020</v>
      </c>
      <c r="I483" s="421">
        <v>3697.7395999999999</v>
      </c>
      <c r="J483" s="421">
        <v>2015</v>
      </c>
      <c r="K483" s="411">
        <v>3876.04</v>
      </c>
      <c r="L483" s="411">
        <f>Table148[[#This Row],[Ambitious target 2030]]+Table148[[#This Row],[Ambitious target 2030]]*0.5</f>
        <v>6101.27034</v>
      </c>
      <c r="M483" s="421">
        <f>Table148[[#This Row],[Data reference value]]+Table148[[#This Row],[Data reference value]]*Table148[[#This Row],[Ambitious target improvement rate 2030]]</f>
        <v>4067.5135599999999</v>
      </c>
      <c r="N483" s="421">
        <v>0.1</v>
      </c>
      <c r="O483" s="421">
        <f>(Table148[[#This Row],[Ambitious target 2030]]-Table148[[#This Row],[Model reference value]])*0.5+Table148[[#This Row],[Model reference value]]</f>
        <v>3971.7767800000001</v>
      </c>
      <c r="P483" s="421">
        <f>(Table148[[#This Row],[Ambitious target 2030]]-Table148[[#This Row],[Model reference value]])*0.25+Table148[[#This Row],[Model reference value]]</f>
        <v>3923.9083900000001</v>
      </c>
      <c r="Q483" s="421">
        <f>Table148[[#This Row],[Red target]]-Table148[[#This Row],[Red target]]*0.5</f>
        <v>1938.02</v>
      </c>
      <c r="R483" s="421">
        <f>Table148[[#This Row],[Data reference value]]+Table148[[#This Row],[Data reference value]]*Table148[[#This Row],[Ambitious target improvement rate 2050]]</f>
        <v>4437.2875199999999</v>
      </c>
      <c r="S483" s="421">
        <v>0.2</v>
      </c>
      <c r="T483" s="421">
        <f>(Table148[[#This Row],[Ambitious target 2050]]-Table148[[#This Row],[Model reference value]])*0.5+Table148[[#This Row],[Model reference value]]</f>
        <v>4156.6637599999995</v>
      </c>
      <c r="U483" s="421">
        <f>(Table148[[#This Row],[Ambitious target 2050]]-Table148[[#This Row],[Model reference value]])*0.25+Table148[[#This Row],[Model reference value]]</f>
        <v>4016.3518800000002</v>
      </c>
      <c r="V483" s="421">
        <f>Table148[[#This Row],[Data reference value]]+Table148[[#This Row],[Data reference value]]*Table148[[#This Row],[Ambitious target improvement rate 2100]]</f>
        <v>4807.0614800000003</v>
      </c>
      <c r="W483" s="421">
        <v>0.3</v>
      </c>
      <c r="X483" s="421">
        <f>(Table148[[#This Row],[Ambitious target 2100]]-Table148[[#This Row],[Model reference value]])*0.5+Table148[[#This Row],[Model reference value]]</f>
        <v>4341.5507400000006</v>
      </c>
      <c r="Y483" s="421">
        <f>(Table148[[#This Row],[Ambitious target 2100]]-Table148[[#This Row],[Model reference value]])*0.25+Table148[[#This Row],[Model reference value]]</f>
        <v>4108.7953699999998</v>
      </c>
      <c r="Z483" s="421">
        <f>Table148[[#This Row],[Model reference value]]</f>
        <v>3876.04</v>
      </c>
      <c r="AA483" s="421" t="s">
        <v>1140</v>
      </c>
      <c r="AB483" s="421" t="s">
        <v>1124</v>
      </c>
      <c r="AC483" s="419" t="s">
        <v>979</v>
      </c>
    </row>
    <row r="484" spans="1:35" s="362" customFormat="1" ht="30" hidden="1" x14ac:dyDescent="0.25">
      <c r="A484" s="389"/>
      <c r="B484" s="372"/>
      <c r="C484" s="372"/>
      <c r="D484" s="372" t="s">
        <v>975</v>
      </c>
      <c r="E484" s="379">
        <v>1164.75264511718</v>
      </c>
      <c r="F484" s="380">
        <v>1163.8596947265601</v>
      </c>
      <c r="G484" s="381">
        <v>1169.8245865234301</v>
      </c>
      <c r="H484" s="421"/>
      <c r="I484" s="375"/>
      <c r="J484" s="375"/>
      <c r="K484" s="375"/>
      <c r="L484" s="375">
        <f>Table148[[#This Row],[Ambitious target 2030]]+Table148[[#This Row],[Ambitious target 2030]]*0.5</f>
        <v>0</v>
      </c>
      <c r="M484" s="375"/>
      <c r="N484" s="375"/>
      <c r="O484" s="375"/>
      <c r="P484" s="375"/>
      <c r="Q484" s="375">
        <f>Table148[[#This Row],[Red target]]-Table148[[#This Row],[Red target]]*0.5</f>
        <v>0</v>
      </c>
      <c r="R484" s="375"/>
      <c r="S484" s="375"/>
      <c r="T484" s="375"/>
      <c r="U484" s="375"/>
      <c r="V484" s="375"/>
      <c r="W484" s="375"/>
      <c r="X484" s="375"/>
      <c r="Y484" s="375"/>
      <c r="Z484" s="375"/>
      <c r="AA484" s="375"/>
      <c r="AB484" s="375"/>
      <c r="AC484" s="399"/>
    </row>
    <row r="485" spans="1:35" s="362" customFormat="1" hidden="1" x14ac:dyDescent="0.25">
      <c r="A485" s="389"/>
      <c r="B485" s="372"/>
      <c r="C485" s="372"/>
      <c r="D485" s="372" t="s">
        <v>972</v>
      </c>
      <c r="E485" s="379">
        <v>1096.09805351562</v>
      </c>
      <c r="F485" s="380">
        <v>1103.73515585937</v>
      </c>
      <c r="G485" s="381">
        <v>1132.18370820312</v>
      </c>
      <c r="H485" s="421"/>
      <c r="I485" s="375"/>
      <c r="J485" s="375"/>
      <c r="K485" s="375"/>
      <c r="L485" s="375">
        <f>Table148[[#This Row],[Ambitious target 2030]]+Table148[[#This Row],[Ambitious target 2030]]*0.5</f>
        <v>0</v>
      </c>
      <c r="M485" s="375"/>
      <c r="N485" s="375"/>
      <c r="O485" s="375"/>
      <c r="P485" s="375"/>
      <c r="Q485" s="375">
        <f>Table148[[#This Row],[Red target]]-Table148[[#This Row],[Red target]]*0.5</f>
        <v>0</v>
      </c>
      <c r="R485" s="375"/>
      <c r="S485" s="375"/>
      <c r="T485" s="375"/>
      <c r="U485" s="375"/>
      <c r="V485" s="375"/>
      <c r="W485" s="375"/>
      <c r="X485" s="375"/>
      <c r="Y485" s="375"/>
      <c r="Z485" s="375"/>
      <c r="AA485" s="375"/>
      <c r="AB485" s="375"/>
      <c r="AC485" s="399"/>
    </row>
    <row r="486" spans="1:35" s="362" customFormat="1" hidden="1" x14ac:dyDescent="0.25">
      <c r="A486" s="389"/>
      <c r="B486" s="372"/>
      <c r="C486" s="372"/>
      <c r="D486" s="372" t="s">
        <v>977</v>
      </c>
      <c r="E486" s="379">
        <v>741.06497343750004</v>
      </c>
      <c r="F486" s="380">
        <v>728.92406093750003</v>
      </c>
      <c r="G486" s="381">
        <v>711.25087656250003</v>
      </c>
      <c r="H486" s="421"/>
      <c r="I486" s="375"/>
      <c r="J486" s="375"/>
      <c r="K486" s="375"/>
      <c r="L486" s="375">
        <f>Table148[[#This Row],[Ambitious target 2030]]+Table148[[#This Row],[Ambitious target 2030]]*0.5</f>
        <v>0</v>
      </c>
      <c r="M486" s="375"/>
      <c r="N486" s="375"/>
      <c r="O486" s="375"/>
      <c r="P486" s="375"/>
      <c r="Q486" s="375">
        <f>Table148[[#This Row],[Red target]]-Table148[[#This Row],[Red target]]*0.5</f>
        <v>0</v>
      </c>
      <c r="R486" s="375"/>
      <c r="S486" s="375"/>
      <c r="T486" s="375"/>
      <c r="U486" s="375"/>
      <c r="V486" s="375"/>
      <c r="W486" s="375"/>
      <c r="X486" s="375"/>
      <c r="Y486" s="375"/>
      <c r="Z486" s="375"/>
      <c r="AA486" s="375"/>
      <c r="AB486" s="375"/>
      <c r="AC486" s="399"/>
    </row>
    <row r="487" spans="1:35" s="362" customFormat="1" hidden="1" x14ac:dyDescent="0.25">
      <c r="A487" s="389"/>
      <c r="B487" s="372"/>
      <c r="C487" s="372"/>
      <c r="D487" s="372"/>
      <c r="E487" s="379"/>
      <c r="F487" s="380"/>
      <c r="G487" s="381"/>
      <c r="H487" s="421"/>
      <c r="I487" s="375"/>
      <c r="J487" s="375"/>
      <c r="K487" s="375"/>
      <c r="L487" s="431">
        <f>Table148[[#This Row],[Ambitious target 2030]]+Table148[[#This Row],[Ambitious target 2030]]*0.5</f>
        <v>0</v>
      </c>
      <c r="M487" s="375"/>
      <c r="N487" s="375"/>
      <c r="O487" s="431"/>
      <c r="P487" s="431"/>
      <c r="Q487" s="431">
        <f>Table148[[#This Row],[Red target]]-Table148[[#This Row],[Red target]]*0.5</f>
        <v>0</v>
      </c>
      <c r="R487" s="431"/>
      <c r="S487" s="431"/>
      <c r="T487" s="431"/>
      <c r="U487" s="431"/>
      <c r="V487" s="431"/>
      <c r="W487" s="431"/>
      <c r="X487" s="431"/>
      <c r="Y487" s="431"/>
      <c r="Z487" s="431"/>
      <c r="AA487" s="375"/>
      <c r="AB487" s="375"/>
      <c r="AC487" s="399"/>
    </row>
    <row r="488" spans="1:35" s="362" customFormat="1" hidden="1" x14ac:dyDescent="0.25">
      <c r="A488" s="389"/>
      <c r="B488" s="372"/>
      <c r="C488" s="372"/>
      <c r="D488" s="372"/>
      <c r="E488" s="379"/>
      <c r="F488" s="380"/>
      <c r="G488" s="381"/>
      <c r="H488" s="421"/>
      <c r="I488" s="375"/>
      <c r="J488" s="375"/>
      <c r="K488" s="375"/>
      <c r="L488" s="431">
        <f>Table148[[#This Row],[Ambitious target 2030]]+Table148[[#This Row],[Ambitious target 2030]]*0.5</f>
        <v>0</v>
      </c>
      <c r="M488" s="375"/>
      <c r="N488" s="375"/>
      <c r="O488" s="431"/>
      <c r="P488" s="431"/>
      <c r="Q488" s="431">
        <f>Table148[[#This Row],[Red target]]-Table148[[#This Row],[Red target]]*0.5</f>
        <v>0</v>
      </c>
      <c r="R488" s="431"/>
      <c r="S488" s="431"/>
      <c r="T488" s="431"/>
      <c r="U488" s="431"/>
      <c r="V488" s="431"/>
      <c r="W488" s="431"/>
      <c r="X488" s="431"/>
      <c r="Y488" s="431"/>
      <c r="Z488" s="431"/>
      <c r="AA488" s="375"/>
      <c r="AB488" s="375"/>
      <c r="AC488" s="399"/>
    </row>
    <row r="489" spans="1:35" s="362" customFormat="1" hidden="1" x14ac:dyDescent="0.25">
      <c r="A489" s="389"/>
      <c r="B489" s="372"/>
      <c r="C489" s="372"/>
      <c r="D489" s="372" t="s">
        <v>974</v>
      </c>
      <c r="E489" s="382">
        <v>434.45220859375002</v>
      </c>
      <c r="F489" s="383">
        <v>426.61628124999999</v>
      </c>
      <c r="G489" s="384">
        <v>415.74024140624999</v>
      </c>
      <c r="H489" s="421"/>
      <c r="I489" s="375"/>
      <c r="J489" s="375"/>
      <c r="K489" s="375"/>
      <c r="L489" s="375">
        <f>Table148[[#This Row],[Ambitious target 2030]]+Table148[[#This Row],[Ambitious target 2030]]*0.5</f>
        <v>0</v>
      </c>
      <c r="M489" s="375"/>
      <c r="N489" s="375"/>
      <c r="O489" s="375"/>
      <c r="P489" s="375"/>
      <c r="Q489" s="375">
        <f>Table148[[#This Row],[Red target]]-Table148[[#This Row],[Red target]]*0.5</f>
        <v>0</v>
      </c>
      <c r="R489" s="375"/>
      <c r="S489" s="375"/>
      <c r="T489" s="375"/>
      <c r="U489" s="375"/>
      <c r="V489" s="375"/>
      <c r="W489" s="375"/>
      <c r="X489" s="375"/>
      <c r="Y489" s="375"/>
      <c r="Z489" s="375"/>
      <c r="AA489" s="375"/>
      <c r="AB489" s="375"/>
      <c r="AC489" s="399"/>
    </row>
    <row r="490" spans="1:35" s="362" customFormat="1" hidden="1" x14ac:dyDescent="0.25">
      <c r="A490" s="389"/>
      <c r="B490" s="372"/>
      <c r="C490" s="372"/>
      <c r="D490" s="372" t="s">
        <v>976</v>
      </c>
      <c r="E490" s="382">
        <v>288.67952734375001</v>
      </c>
      <c r="F490" s="383">
        <v>285.01043046874997</v>
      </c>
      <c r="G490" s="384">
        <v>268.73964550781199</v>
      </c>
      <c r="H490" s="421"/>
      <c r="I490" s="375"/>
      <c r="J490" s="375"/>
      <c r="K490" s="375"/>
      <c r="L490" s="375">
        <f>Table148[[#This Row],[Ambitious target 2030]]+Table148[[#This Row],[Ambitious target 2030]]*0.5</f>
        <v>0</v>
      </c>
      <c r="M490" s="375"/>
      <c r="N490" s="375"/>
      <c r="O490" s="375"/>
      <c r="P490" s="375"/>
      <c r="Q490" s="375">
        <f>Table148[[#This Row],[Red target]]-Table148[[#This Row],[Red target]]*0.5</f>
        <v>0</v>
      </c>
      <c r="R490" s="375"/>
      <c r="S490" s="375"/>
      <c r="T490" s="375"/>
      <c r="U490" s="375"/>
      <c r="V490" s="375"/>
      <c r="W490" s="375"/>
      <c r="X490" s="375"/>
      <c r="Y490" s="375"/>
      <c r="Z490" s="375"/>
      <c r="AA490" s="375"/>
      <c r="AB490" s="375"/>
      <c r="AC490" s="399"/>
    </row>
    <row r="491" spans="1:35" s="362" customFormat="1" hidden="1" x14ac:dyDescent="0.25">
      <c r="A491" s="389"/>
      <c r="B491" s="372"/>
      <c r="C491" s="372"/>
      <c r="D491" s="372"/>
      <c r="E491" s="382"/>
      <c r="F491" s="383"/>
      <c r="G491" s="384"/>
      <c r="H491" s="421"/>
      <c r="I491" s="375"/>
      <c r="J491" s="375"/>
      <c r="K491" s="375"/>
      <c r="L491" s="431">
        <f>Table148[[#This Row],[Ambitious target 2030]]+Table148[[#This Row],[Ambitious target 2030]]*0.5</f>
        <v>0</v>
      </c>
      <c r="M491" s="375"/>
      <c r="N491" s="375"/>
      <c r="O491" s="431"/>
      <c r="P491" s="431"/>
      <c r="Q491" s="431">
        <f>Table148[[#This Row],[Red target]]-Table148[[#This Row],[Red target]]*0.5</f>
        <v>0</v>
      </c>
      <c r="R491" s="431"/>
      <c r="S491" s="431"/>
      <c r="T491" s="431"/>
      <c r="U491" s="431"/>
      <c r="V491" s="431"/>
      <c r="W491" s="431"/>
      <c r="X491" s="431"/>
      <c r="Y491" s="431"/>
      <c r="Z491" s="431"/>
      <c r="AA491" s="375"/>
      <c r="AB491" s="375"/>
      <c r="AC491" s="399"/>
    </row>
    <row r="492" spans="1:35" s="362" customFormat="1" hidden="1" x14ac:dyDescent="0.25">
      <c r="A492" s="389"/>
      <c r="B492" s="372"/>
      <c r="C492" s="372"/>
      <c r="D492" s="372"/>
      <c r="E492" s="382"/>
      <c r="F492" s="383"/>
      <c r="G492" s="384"/>
      <c r="H492" s="421"/>
      <c r="I492" s="375"/>
      <c r="J492" s="375"/>
      <c r="K492" s="375"/>
      <c r="L492" s="431">
        <f>Table148[[#This Row],[Ambitious target 2030]]+Table148[[#This Row],[Ambitious target 2030]]*0.5</f>
        <v>0</v>
      </c>
      <c r="M492" s="375"/>
      <c r="N492" s="375"/>
      <c r="O492" s="431"/>
      <c r="P492" s="431"/>
      <c r="Q492" s="431">
        <f>Table148[[#This Row],[Red target]]-Table148[[#This Row],[Red target]]*0.5</f>
        <v>0</v>
      </c>
      <c r="R492" s="431"/>
      <c r="S492" s="431"/>
      <c r="T492" s="431"/>
      <c r="U492" s="431"/>
      <c r="V492" s="431"/>
      <c r="W492" s="431"/>
      <c r="X492" s="431"/>
      <c r="Y492" s="431"/>
      <c r="Z492" s="431"/>
      <c r="AA492" s="375"/>
      <c r="AB492" s="375"/>
      <c r="AC492" s="399"/>
    </row>
    <row r="493" spans="1:35" s="362" customFormat="1" hidden="1" x14ac:dyDescent="0.25">
      <c r="A493" s="389"/>
      <c r="B493" s="372"/>
      <c r="C493" s="372"/>
      <c r="D493" s="372"/>
      <c r="E493" s="382"/>
      <c r="F493" s="383"/>
      <c r="G493" s="384"/>
      <c r="H493" s="421"/>
      <c r="I493" s="375"/>
      <c r="J493" s="375"/>
      <c r="K493" s="375"/>
      <c r="L493" s="431">
        <f>Table148[[#This Row],[Ambitious target 2030]]+Table148[[#This Row],[Ambitious target 2030]]*0.5</f>
        <v>0</v>
      </c>
      <c r="M493" s="375"/>
      <c r="N493" s="375"/>
      <c r="O493" s="431"/>
      <c r="P493" s="431"/>
      <c r="Q493" s="431">
        <f>Table148[[#This Row],[Red target]]-Table148[[#This Row],[Red target]]*0.5</f>
        <v>0</v>
      </c>
      <c r="R493" s="431"/>
      <c r="S493" s="431"/>
      <c r="T493" s="431"/>
      <c r="U493" s="431"/>
      <c r="V493" s="431"/>
      <c r="W493" s="431"/>
      <c r="X493" s="431"/>
      <c r="Y493" s="431"/>
      <c r="Z493" s="431"/>
      <c r="AA493" s="375"/>
      <c r="AB493" s="375"/>
      <c r="AC493" s="399"/>
    </row>
    <row r="494" spans="1:35" s="386" customFormat="1" hidden="1" x14ac:dyDescent="0.25">
      <c r="A494" s="409"/>
      <c r="B494" s="406"/>
      <c r="C494" s="406"/>
      <c r="D494" s="406"/>
      <c r="E494" s="407"/>
      <c r="F494" s="407"/>
      <c r="G494" s="407">
        <v>2000</v>
      </c>
      <c r="H494" s="407"/>
      <c r="I494" s="407"/>
      <c r="J494" s="407"/>
      <c r="K494" s="407"/>
      <c r="L494" s="407">
        <f>Table148[[#This Row],[Ambitious target 2030]]+Table148[[#This Row],[Ambitious target 2030]]*0.5</f>
        <v>0</v>
      </c>
      <c r="M494" s="407"/>
      <c r="N494" s="407"/>
      <c r="O494" s="407"/>
      <c r="P494" s="407"/>
      <c r="Q494" s="407">
        <f>Table148[[#This Row],[Red target]]-Table148[[#This Row],[Red target]]*0.5</f>
        <v>0</v>
      </c>
      <c r="R494" s="407"/>
      <c r="S494" s="407"/>
      <c r="T494" s="407"/>
      <c r="U494" s="407"/>
      <c r="V494" s="407"/>
      <c r="W494" s="407"/>
      <c r="X494" s="407"/>
      <c r="Y494" s="407"/>
      <c r="Z494" s="407"/>
      <c r="AA494" s="407"/>
      <c r="AB494" s="407"/>
      <c r="AC494" s="413"/>
    </row>
    <row r="495" spans="1:35" x14ac:dyDescent="0.25">
      <c r="A495" s="418" t="s">
        <v>883</v>
      </c>
      <c r="B495" s="437" t="s">
        <v>884</v>
      </c>
      <c r="C495" s="437" t="s">
        <v>473</v>
      </c>
      <c r="D495" s="436" t="s">
        <v>904</v>
      </c>
      <c r="E495" s="420"/>
      <c r="F495" s="420"/>
      <c r="G495" s="420">
        <v>70</v>
      </c>
      <c r="H495" s="421">
        <v>2000</v>
      </c>
      <c r="I495" s="421">
        <v>70</v>
      </c>
      <c r="J495" s="421">
        <v>2015</v>
      </c>
      <c r="K495" s="411">
        <v>42.328600000000002</v>
      </c>
      <c r="L495" s="411">
        <v>100</v>
      </c>
      <c r="M495" s="421">
        <v>50</v>
      </c>
      <c r="N495" s="421"/>
      <c r="O495" s="421">
        <f>(M495-K495)*0.5+K495</f>
        <v>46.164299999999997</v>
      </c>
      <c r="P495" s="421">
        <f>(Table148[[#This Row],[Ambitious target 2030]]-Table148[[#This Row],[Model reference value]])*0.25+Table148[[#This Row],[Model reference value]]</f>
        <v>44.246450000000003</v>
      </c>
      <c r="Q495" s="421">
        <f>Table148[[#This Row],[Red target]]-Table148[[#This Row],[Red target]]*0.5</f>
        <v>21.164300000000001</v>
      </c>
      <c r="R495" s="421">
        <v>60</v>
      </c>
      <c r="S495" s="421"/>
      <c r="T495" s="421">
        <f>(Table148[[#This Row],[Ambitious target 2050]]-Table148[[#This Row],[Model reference value]])*0.5+Table148[[#This Row],[Model reference value]]</f>
        <v>51.164299999999997</v>
      </c>
      <c r="U495" s="421">
        <f>(Table148[[#This Row],[Ambitious target 2050]]-Table148[[#This Row],[Model reference value]])*0.25+Table148[[#This Row],[Model reference value]]</f>
        <v>46.746450000000003</v>
      </c>
      <c r="V495" s="421">
        <v>70</v>
      </c>
      <c r="W495" s="421"/>
      <c r="X495" s="421">
        <f>(Table148[[#This Row],[Ambitious target 2100]]-Table148[[#This Row],[Model reference value]])*0.5+Table148[[#This Row],[Model reference value]]</f>
        <v>56.164299999999997</v>
      </c>
      <c r="Y495" s="421">
        <f>(Table148[[#This Row],[Ambitious target 2100]]-Table148[[#This Row],[Model reference value]])*0.25+Table148[[#This Row],[Model reference value]]</f>
        <v>49.246450000000003</v>
      </c>
      <c r="Z495" s="421">
        <f>K495</f>
        <v>42.328600000000002</v>
      </c>
      <c r="AA495" s="421" t="s">
        <v>982</v>
      </c>
      <c r="AB495" s="421" t="s">
        <v>1188</v>
      </c>
      <c r="AC495" s="419" t="s">
        <v>890</v>
      </c>
      <c r="AD495" s="360"/>
      <c r="AE495" s="360"/>
      <c r="AF495" s="360"/>
      <c r="AG495" s="360"/>
      <c r="AH495" s="360"/>
      <c r="AI495" s="360"/>
    </row>
    <row r="496" spans="1:35" hidden="1" x14ac:dyDescent="0.25">
      <c r="A496" s="390"/>
      <c r="B496" s="369"/>
      <c r="C496" s="369"/>
      <c r="D496" s="372" t="s">
        <v>893</v>
      </c>
      <c r="E496" s="379"/>
      <c r="F496" s="380"/>
      <c r="G496" s="381">
        <v>87</v>
      </c>
      <c r="H496" s="421">
        <v>2000</v>
      </c>
      <c r="I496" s="375">
        <v>87</v>
      </c>
      <c r="J496" s="375"/>
      <c r="K496" s="375"/>
      <c r="L496" s="375">
        <f>Table148[[#This Row],[Ambitious target 2030]]+Table148[[#This Row],[Ambitious target 2030]]*0.5</f>
        <v>0</v>
      </c>
      <c r="M496" s="375"/>
      <c r="N496" s="375"/>
      <c r="O496" s="375"/>
      <c r="P496" s="375"/>
      <c r="Q496" s="375">
        <f>Table148[[#This Row],[Red target]]-Table148[[#This Row],[Red target]]*0.5</f>
        <v>0</v>
      </c>
      <c r="R496" s="375"/>
      <c r="S496" s="375"/>
      <c r="T496" s="375"/>
      <c r="U496" s="375"/>
      <c r="V496" s="375"/>
      <c r="W496" s="375"/>
      <c r="X496" s="375"/>
      <c r="Y496" s="375"/>
      <c r="Z496" s="375"/>
      <c r="AA496" s="375"/>
      <c r="AB496" s="375"/>
      <c r="AC496" s="396"/>
      <c r="AD496" s="360"/>
      <c r="AE496" s="360"/>
      <c r="AF496" s="360"/>
      <c r="AG496" s="360"/>
      <c r="AH496" s="360"/>
      <c r="AI496" s="360"/>
    </row>
    <row r="497" spans="1:38" hidden="1" x14ac:dyDescent="0.25">
      <c r="A497" s="390"/>
      <c r="B497" s="369"/>
      <c r="C497" s="369"/>
      <c r="D497" s="372" t="s">
        <v>894</v>
      </c>
      <c r="E497" s="379"/>
      <c r="F497" s="380"/>
      <c r="G497" s="381">
        <v>78</v>
      </c>
      <c r="H497" s="421">
        <v>2000</v>
      </c>
      <c r="I497" s="375">
        <v>78</v>
      </c>
      <c r="J497" s="375"/>
      <c r="K497" s="375"/>
      <c r="L497" s="375">
        <f>Table148[[#This Row],[Ambitious target 2030]]+Table148[[#This Row],[Ambitious target 2030]]*0.5</f>
        <v>0</v>
      </c>
      <c r="M497" s="375"/>
      <c r="N497" s="375"/>
      <c r="O497" s="375"/>
      <c r="P497" s="375"/>
      <c r="Q497" s="375">
        <f>Table148[[#This Row],[Red target]]-Table148[[#This Row],[Red target]]*0.5</f>
        <v>0</v>
      </c>
      <c r="R497" s="375"/>
      <c r="S497" s="375"/>
      <c r="T497" s="375"/>
      <c r="U497" s="375"/>
      <c r="V497" s="375"/>
      <c r="W497" s="375"/>
      <c r="X497" s="375"/>
      <c r="Y497" s="375"/>
      <c r="Z497" s="375"/>
      <c r="AA497" s="375"/>
      <c r="AB497" s="375"/>
      <c r="AC497" s="396"/>
      <c r="AD497" s="360"/>
      <c r="AE497" s="360"/>
      <c r="AF497" s="360"/>
      <c r="AG497" s="360"/>
      <c r="AH497" s="360"/>
      <c r="AI497" s="360"/>
    </row>
    <row r="498" spans="1:38" hidden="1" x14ac:dyDescent="0.25">
      <c r="A498" s="390"/>
      <c r="B498" s="369"/>
      <c r="C498" s="369"/>
      <c r="D498" s="372" t="s">
        <v>897</v>
      </c>
      <c r="E498" s="379"/>
      <c r="F498" s="380"/>
      <c r="G498" s="381">
        <v>76</v>
      </c>
      <c r="H498" s="421">
        <v>2000</v>
      </c>
      <c r="I498" s="375">
        <v>76</v>
      </c>
      <c r="J498" s="375"/>
      <c r="K498" s="375"/>
      <c r="L498" s="375">
        <f>Table148[[#This Row],[Ambitious target 2030]]+Table148[[#This Row],[Ambitious target 2030]]*0.5</f>
        <v>0</v>
      </c>
      <c r="M498" s="375"/>
      <c r="N498" s="375"/>
      <c r="O498" s="375"/>
      <c r="P498" s="375"/>
      <c r="Q498" s="375">
        <f>Table148[[#This Row],[Red target]]-Table148[[#This Row],[Red target]]*0.5</f>
        <v>0</v>
      </c>
      <c r="R498" s="375"/>
      <c r="S498" s="375"/>
      <c r="T498" s="375"/>
      <c r="U498" s="375"/>
      <c r="V498" s="375"/>
      <c r="W498" s="375"/>
      <c r="X498" s="375"/>
      <c r="Y498" s="375"/>
      <c r="Z498" s="375"/>
      <c r="AA498" s="375"/>
      <c r="AB498" s="375"/>
      <c r="AC498" s="401"/>
      <c r="AD498" s="360"/>
      <c r="AE498" s="360"/>
      <c r="AF498" s="360"/>
      <c r="AG498" s="360"/>
      <c r="AH498" s="360"/>
      <c r="AI498" s="360"/>
    </row>
    <row r="499" spans="1:38" hidden="1" x14ac:dyDescent="0.25">
      <c r="A499" s="390"/>
      <c r="B499" s="369"/>
      <c r="C499" s="369"/>
      <c r="D499" s="372" t="s">
        <v>898</v>
      </c>
      <c r="E499" s="379"/>
      <c r="F499" s="380"/>
      <c r="G499" s="381">
        <v>76</v>
      </c>
      <c r="H499" s="421">
        <v>2000</v>
      </c>
      <c r="I499" s="375">
        <v>76</v>
      </c>
      <c r="J499" s="375"/>
      <c r="K499" s="375"/>
      <c r="L499" s="375">
        <f>Table148[[#This Row],[Ambitious target 2030]]+Table148[[#This Row],[Ambitious target 2030]]*0.5</f>
        <v>0</v>
      </c>
      <c r="M499" s="375"/>
      <c r="N499" s="375"/>
      <c r="O499" s="375"/>
      <c r="P499" s="375"/>
      <c r="Q499" s="375">
        <f>Table148[[#This Row],[Red target]]-Table148[[#This Row],[Red target]]*0.5</f>
        <v>0</v>
      </c>
      <c r="R499" s="375"/>
      <c r="S499" s="375"/>
      <c r="T499" s="375"/>
      <c r="U499" s="375"/>
      <c r="V499" s="375"/>
      <c r="W499" s="375"/>
      <c r="X499" s="375"/>
      <c r="Y499" s="375"/>
      <c r="Z499" s="375"/>
      <c r="AA499" s="375"/>
      <c r="AB499" s="375"/>
      <c r="AC499" s="398"/>
      <c r="AD499" s="360"/>
      <c r="AE499" s="360"/>
      <c r="AF499" s="360"/>
      <c r="AG499" s="360"/>
      <c r="AH499" s="360"/>
      <c r="AI499" s="360"/>
    </row>
    <row r="500" spans="1:38" hidden="1" x14ac:dyDescent="0.25">
      <c r="A500" s="390"/>
      <c r="B500" s="369"/>
      <c r="C500" s="369"/>
      <c r="D500" s="372" t="s">
        <v>895</v>
      </c>
      <c r="E500" s="382"/>
      <c r="F500" s="383"/>
      <c r="G500" s="384">
        <v>75</v>
      </c>
      <c r="H500" s="421">
        <v>2000</v>
      </c>
      <c r="I500" s="375">
        <v>75</v>
      </c>
      <c r="J500" s="375"/>
      <c r="K500" s="375"/>
      <c r="L500" s="375">
        <f>Table148[[#This Row],[Ambitious target 2030]]+Table148[[#This Row],[Ambitious target 2030]]*0.5</f>
        <v>0</v>
      </c>
      <c r="M500" s="375"/>
      <c r="N500" s="375"/>
      <c r="O500" s="375"/>
      <c r="P500" s="375"/>
      <c r="Q500" s="375">
        <f>Table148[[#This Row],[Red target]]-Table148[[#This Row],[Red target]]*0.5</f>
        <v>0</v>
      </c>
      <c r="R500" s="375"/>
      <c r="S500" s="375"/>
      <c r="T500" s="375"/>
      <c r="U500" s="375"/>
      <c r="V500" s="375"/>
      <c r="W500" s="375"/>
      <c r="X500" s="375"/>
      <c r="Y500" s="375"/>
      <c r="Z500" s="375"/>
      <c r="AA500" s="375"/>
      <c r="AB500" s="375"/>
      <c r="AC500" s="396"/>
      <c r="AD500" s="360"/>
      <c r="AE500" s="360"/>
      <c r="AF500" s="360"/>
      <c r="AG500" s="360"/>
      <c r="AH500" s="360"/>
      <c r="AI500" s="360"/>
    </row>
    <row r="501" spans="1:38" hidden="1" x14ac:dyDescent="0.25">
      <c r="A501" s="390"/>
      <c r="B501" s="369"/>
      <c r="C501" s="369"/>
      <c r="D501" s="372" t="s">
        <v>896</v>
      </c>
      <c r="E501" s="382"/>
      <c r="F501" s="383"/>
      <c r="G501" s="384">
        <v>73</v>
      </c>
      <c r="H501" s="421">
        <v>2000</v>
      </c>
      <c r="I501" s="375">
        <v>73</v>
      </c>
      <c r="J501" s="375"/>
      <c r="K501" s="375"/>
      <c r="L501" s="375">
        <f>Table148[[#This Row],[Ambitious target 2030]]+Table148[[#This Row],[Ambitious target 2030]]*0.5</f>
        <v>0</v>
      </c>
      <c r="M501" s="375"/>
      <c r="N501" s="375"/>
      <c r="O501" s="375"/>
      <c r="P501" s="375"/>
      <c r="Q501" s="375">
        <f>Table148[[#This Row],[Red target]]-Table148[[#This Row],[Red target]]*0.5</f>
        <v>0</v>
      </c>
      <c r="R501" s="375"/>
      <c r="S501" s="375"/>
      <c r="T501" s="375"/>
      <c r="U501" s="375"/>
      <c r="V501" s="375"/>
      <c r="W501" s="375"/>
      <c r="X501" s="375"/>
      <c r="Y501" s="375"/>
      <c r="Z501" s="375"/>
      <c r="AA501" s="375"/>
      <c r="AB501" s="375"/>
      <c r="AC501" s="396"/>
      <c r="AD501" s="360"/>
      <c r="AE501" s="360"/>
      <c r="AF501" s="360"/>
      <c r="AG501" s="360"/>
      <c r="AH501" s="360"/>
      <c r="AI501" s="360"/>
    </row>
    <row r="502" spans="1:38" hidden="1" x14ac:dyDescent="0.25">
      <c r="A502" s="390"/>
      <c r="B502" s="369"/>
      <c r="C502" s="369"/>
      <c r="D502" s="372" t="s">
        <v>899</v>
      </c>
      <c r="E502" s="382"/>
      <c r="F502" s="383"/>
      <c r="G502" s="384">
        <v>55</v>
      </c>
      <c r="H502" s="421">
        <v>2000</v>
      </c>
      <c r="I502" s="375">
        <v>55</v>
      </c>
      <c r="J502" s="375"/>
      <c r="K502" s="375"/>
      <c r="L502" s="375">
        <f>Table148[[#This Row],[Ambitious target 2030]]+Table148[[#This Row],[Ambitious target 2030]]*0.5</f>
        <v>0</v>
      </c>
      <c r="M502" s="375"/>
      <c r="N502" s="375"/>
      <c r="O502" s="375"/>
      <c r="P502" s="375"/>
      <c r="Q502" s="375">
        <f>Table148[[#This Row],[Red target]]-Table148[[#This Row],[Red target]]*0.5</f>
        <v>0</v>
      </c>
      <c r="R502" s="375"/>
      <c r="S502" s="375"/>
      <c r="T502" s="375"/>
      <c r="U502" s="375"/>
      <c r="V502" s="375"/>
      <c r="W502" s="375"/>
      <c r="X502" s="375"/>
      <c r="Y502" s="375"/>
      <c r="Z502" s="375"/>
      <c r="AA502" s="375"/>
      <c r="AB502" s="375"/>
      <c r="AC502" s="396"/>
      <c r="AD502" s="360"/>
      <c r="AE502" s="360"/>
      <c r="AF502" s="360"/>
      <c r="AG502" s="360"/>
      <c r="AH502" s="360"/>
      <c r="AI502" s="360"/>
    </row>
    <row r="503" spans="1:38" hidden="1" x14ac:dyDescent="0.25">
      <c r="A503" s="402"/>
      <c r="B503" s="370"/>
      <c r="C503" s="370"/>
      <c r="D503" s="400" t="s">
        <v>900</v>
      </c>
      <c r="E503" s="397"/>
      <c r="F503" s="395"/>
      <c r="G503" s="393">
        <v>45</v>
      </c>
      <c r="H503" s="421">
        <v>2000</v>
      </c>
      <c r="I503" s="392">
        <v>45</v>
      </c>
      <c r="J503" s="392"/>
      <c r="K503" s="392"/>
      <c r="L503" s="392">
        <f>Table148[[#This Row],[Ambitious target 2030]]+Table148[[#This Row],[Ambitious target 2030]]*0.5</f>
        <v>0</v>
      </c>
      <c r="M503" s="392"/>
      <c r="N503" s="392"/>
      <c r="O503" s="392"/>
      <c r="P503" s="392"/>
      <c r="Q503" s="392">
        <f>Table148[[#This Row],[Red target]]-Table148[[#This Row],[Red target]]*0.5</f>
        <v>0</v>
      </c>
      <c r="R503" s="392"/>
      <c r="S503" s="392"/>
      <c r="T503" s="392"/>
      <c r="U503" s="392"/>
      <c r="V503" s="392"/>
      <c r="W503" s="392"/>
      <c r="X503" s="392"/>
      <c r="Y503" s="392"/>
      <c r="Z503" s="392"/>
      <c r="AA503" s="392"/>
      <c r="AB503" s="392"/>
      <c r="AC503" s="404"/>
      <c r="AD503" s="360"/>
      <c r="AE503" s="360"/>
      <c r="AF503" s="360"/>
      <c r="AG503" s="360"/>
      <c r="AH503" s="360"/>
      <c r="AI503" s="360"/>
    </row>
    <row r="504" spans="1:38" x14ac:dyDescent="0.25">
      <c r="A504" s="376"/>
      <c r="B504" s="439"/>
      <c r="C504" s="439"/>
      <c r="D504" s="439"/>
      <c r="E504" s="376"/>
      <c r="F504" s="376"/>
      <c r="G504" s="376"/>
      <c r="AJ504" s="376"/>
      <c r="AK504" s="376"/>
      <c r="AL504" s="376"/>
    </row>
    <row r="505" spans="1:38" x14ac:dyDescent="0.25">
      <c r="A505" s="376"/>
      <c r="B505" s="439"/>
      <c r="C505" s="439"/>
      <c r="D505" s="439"/>
      <c r="E505" s="376"/>
      <c r="F505" s="376"/>
      <c r="G505" s="376"/>
      <c r="AJ505" s="376"/>
      <c r="AK505" s="376"/>
      <c r="AL505" s="376"/>
    </row>
    <row r="506" spans="1:38" x14ac:dyDescent="0.25">
      <c r="A506" s="376"/>
      <c r="B506" s="439"/>
      <c r="C506" s="439"/>
      <c r="D506" s="439"/>
      <c r="E506" s="376"/>
      <c r="F506" s="376"/>
      <c r="G506" s="376"/>
      <c r="AJ506" s="376"/>
      <c r="AK506" s="376"/>
      <c r="AL506" s="376"/>
    </row>
    <row r="507" spans="1:38" x14ac:dyDescent="0.25">
      <c r="A507" s="376"/>
      <c r="B507" s="439"/>
      <c r="C507" s="439"/>
      <c r="D507" s="439"/>
      <c r="E507" s="376"/>
      <c r="F507" s="376"/>
      <c r="G507" s="376"/>
      <c r="AJ507" s="376"/>
      <c r="AK507" s="376"/>
      <c r="AL507" s="376"/>
    </row>
    <row r="508" spans="1:38" x14ac:dyDescent="0.25">
      <c r="A508" s="376"/>
      <c r="B508" s="439"/>
      <c r="C508" s="439"/>
      <c r="D508" s="439"/>
      <c r="E508" s="376"/>
      <c r="F508" s="376"/>
      <c r="G508" s="376"/>
      <c r="AJ508" s="376"/>
      <c r="AK508" s="376"/>
      <c r="AL508" s="376"/>
    </row>
    <row r="509" spans="1:38" x14ac:dyDescent="0.25">
      <c r="A509" s="376"/>
      <c r="B509" s="439"/>
      <c r="C509" s="439"/>
      <c r="D509" s="439"/>
      <c r="E509" s="376"/>
      <c r="F509" s="376"/>
      <c r="G509" s="376"/>
      <c r="K509" s="405"/>
      <c r="L509" s="405"/>
      <c r="AJ509" s="376"/>
      <c r="AK509" s="376"/>
      <c r="AL509" s="376"/>
    </row>
    <row r="510" spans="1:38" x14ac:dyDescent="0.25">
      <c r="A510" s="376"/>
      <c r="B510" s="439"/>
      <c r="C510" s="439"/>
      <c r="D510" s="439"/>
      <c r="E510" s="376"/>
      <c r="F510" s="376"/>
      <c r="G510" s="376"/>
      <c r="AJ510" s="376"/>
      <c r="AK510" s="376"/>
      <c r="AL510" s="376"/>
    </row>
    <row r="511" spans="1:38" x14ac:dyDescent="0.25">
      <c r="A511" s="376"/>
      <c r="B511" s="439"/>
      <c r="C511" s="439"/>
      <c r="D511" s="439"/>
      <c r="E511" s="376"/>
      <c r="F511" s="376"/>
      <c r="G511" s="376"/>
      <c r="AJ511" s="376"/>
      <c r="AK511" s="376"/>
      <c r="AL511" s="376"/>
    </row>
    <row r="512" spans="1:38" x14ac:dyDescent="0.25">
      <c r="A512" s="376"/>
      <c r="B512" s="439"/>
      <c r="C512" s="439"/>
      <c r="D512" s="439"/>
      <c r="E512" s="376"/>
      <c r="F512" s="376"/>
      <c r="G512" s="376"/>
      <c r="AJ512" s="376"/>
      <c r="AK512" s="376"/>
      <c r="AL512" s="376"/>
    </row>
    <row r="513" spans="1:38" x14ac:dyDescent="0.25">
      <c r="A513" s="376"/>
      <c r="B513" s="439"/>
      <c r="C513" s="439"/>
      <c r="D513" s="439"/>
      <c r="E513" s="376"/>
      <c r="F513" s="376"/>
      <c r="G513" s="376"/>
      <c r="AJ513" s="376"/>
      <c r="AK513" s="376"/>
      <c r="AL513" s="376"/>
    </row>
    <row r="514" spans="1:38" x14ac:dyDescent="0.25">
      <c r="A514" s="376"/>
      <c r="B514" s="439"/>
      <c r="C514" s="439"/>
      <c r="D514" s="439"/>
      <c r="E514" s="376"/>
      <c r="F514" s="376"/>
      <c r="G514" s="376"/>
      <c r="AJ514" s="376"/>
      <c r="AK514" s="376"/>
      <c r="AL514" s="376"/>
    </row>
    <row r="515" spans="1:38" x14ac:dyDescent="0.25">
      <c r="A515" s="376"/>
      <c r="B515" s="439"/>
      <c r="C515" s="439"/>
      <c r="D515" s="439"/>
      <c r="E515" s="376"/>
      <c r="F515" s="376"/>
      <c r="G515" s="376"/>
      <c r="AJ515" s="376"/>
      <c r="AK515" s="376"/>
      <c r="AL515" s="376"/>
    </row>
    <row r="516" spans="1:38" x14ac:dyDescent="0.25">
      <c r="A516" s="376"/>
      <c r="B516" s="439"/>
      <c r="C516" s="439"/>
      <c r="D516" s="439"/>
      <c r="E516" s="376"/>
      <c r="F516" s="376"/>
      <c r="G516" s="376"/>
      <c r="AJ516" s="376"/>
      <c r="AK516" s="376"/>
      <c r="AL516" s="376"/>
    </row>
    <row r="517" spans="1:38" x14ac:dyDescent="0.25">
      <c r="A517" s="376"/>
      <c r="B517" s="439"/>
      <c r="C517" s="439"/>
      <c r="D517" s="439"/>
      <c r="E517" s="376"/>
      <c r="F517" s="376"/>
      <c r="G517" s="376"/>
      <c r="AJ517" s="376"/>
      <c r="AK517" s="376"/>
      <c r="AL517" s="376"/>
    </row>
    <row r="518" spans="1:38" x14ac:dyDescent="0.25">
      <c r="A518" s="376"/>
      <c r="B518" s="439"/>
      <c r="C518" s="439"/>
      <c r="D518" s="439"/>
      <c r="E518" s="376"/>
      <c r="F518" s="376"/>
      <c r="G518" s="376"/>
      <c r="AJ518" s="376"/>
      <c r="AK518" s="376"/>
      <c r="AL518" s="376"/>
    </row>
    <row r="519" spans="1:38" x14ac:dyDescent="0.25">
      <c r="A519" s="376"/>
      <c r="B519" s="439"/>
      <c r="C519" s="439"/>
      <c r="D519" s="439"/>
      <c r="E519" s="376"/>
      <c r="F519" s="376"/>
      <c r="G519" s="376"/>
      <c r="AJ519" s="376"/>
      <c r="AK519" s="376"/>
      <c r="AL519" s="376"/>
    </row>
    <row r="520" spans="1:38" x14ac:dyDescent="0.25">
      <c r="A520" s="376"/>
      <c r="B520" s="439"/>
      <c r="C520" s="439"/>
      <c r="D520" s="439"/>
      <c r="E520" s="376"/>
      <c r="F520" s="376"/>
      <c r="G520" s="376"/>
      <c r="AJ520" s="376"/>
      <c r="AK520" s="376"/>
      <c r="AL520" s="376"/>
    </row>
    <row r="521" spans="1:38" x14ac:dyDescent="0.25">
      <c r="A521" s="376"/>
      <c r="B521" s="439"/>
      <c r="C521" s="439"/>
      <c r="D521" s="439"/>
      <c r="E521" s="376"/>
      <c r="F521" s="376"/>
      <c r="G521" s="376"/>
      <c r="AJ521" s="376"/>
      <c r="AK521" s="376"/>
      <c r="AL521" s="376"/>
    </row>
    <row r="522" spans="1:38" x14ac:dyDescent="0.25">
      <c r="A522" s="376"/>
      <c r="B522" s="439"/>
      <c r="C522" s="439"/>
      <c r="D522" s="439"/>
      <c r="E522" s="376"/>
      <c r="F522" s="376"/>
      <c r="G522" s="376"/>
      <c r="AJ522" s="376"/>
      <c r="AK522" s="376"/>
      <c r="AL522" s="376"/>
    </row>
    <row r="523" spans="1:38" x14ac:dyDescent="0.25">
      <c r="A523" s="376"/>
      <c r="B523" s="439"/>
      <c r="C523" s="439"/>
      <c r="D523" s="439"/>
      <c r="E523" s="376"/>
      <c r="F523" s="376"/>
      <c r="G523" s="376"/>
      <c r="AJ523" s="376"/>
      <c r="AK523" s="376"/>
      <c r="AL523" s="376"/>
    </row>
    <row r="524" spans="1:38" x14ac:dyDescent="0.25">
      <c r="A524" s="376"/>
      <c r="B524" s="439"/>
      <c r="C524" s="439"/>
      <c r="D524" s="439"/>
      <c r="E524" s="376"/>
      <c r="F524" s="376"/>
      <c r="G524" s="376"/>
      <c r="AJ524" s="376"/>
      <c r="AK524" s="376"/>
      <c r="AL524" s="376"/>
    </row>
    <row r="525" spans="1:38" x14ac:dyDescent="0.25">
      <c r="A525" s="376"/>
      <c r="B525" s="439"/>
      <c r="C525" s="439"/>
      <c r="D525" s="439"/>
      <c r="E525" s="376"/>
      <c r="F525" s="376"/>
      <c r="G525" s="376"/>
      <c r="AJ525" s="376"/>
      <c r="AK525" s="376"/>
      <c r="AL525" s="376"/>
    </row>
    <row r="526" spans="1:38" x14ac:dyDescent="0.25">
      <c r="A526" s="376"/>
      <c r="B526" s="439"/>
      <c r="C526" s="439"/>
      <c r="D526" s="439"/>
      <c r="E526" s="376"/>
      <c r="F526" s="376"/>
      <c r="G526" s="376"/>
      <c r="AJ526" s="376"/>
      <c r="AK526" s="376"/>
      <c r="AL526" s="376"/>
    </row>
    <row r="527" spans="1:38" x14ac:dyDescent="0.25">
      <c r="A527" s="376"/>
      <c r="B527" s="439"/>
      <c r="C527" s="439"/>
      <c r="D527" s="439"/>
      <c r="E527" s="376"/>
      <c r="F527" s="376"/>
      <c r="G527" s="376"/>
      <c r="AJ527" s="376"/>
      <c r="AK527" s="376"/>
      <c r="AL527" s="376"/>
    </row>
    <row r="528" spans="1:38" x14ac:dyDescent="0.25">
      <c r="A528" s="376"/>
      <c r="B528" s="439"/>
      <c r="C528" s="439"/>
      <c r="D528" s="439"/>
      <c r="E528" s="376"/>
      <c r="F528" s="376"/>
      <c r="G528" s="376"/>
      <c r="AJ528" s="376"/>
      <c r="AK528" s="376"/>
      <c r="AL528" s="376"/>
    </row>
    <row r="529" spans="1:38" x14ac:dyDescent="0.25">
      <c r="A529" s="376"/>
      <c r="B529" s="439"/>
      <c r="C529" s="439"/>
      <c r="D529" s="439"/>
      <c r="E529" s="376"/>
      <c r="F529" s="376"/>
      <c r="G529" s="376"/>
      <c r="AJ529" s="376"/>
      <c r="AK529" s="376"/>
      <c r="AL529" s="376"/>
    </row>
    <row r="530" spans="1:38" x14ac:dyDescent="0.25">
      <c r="A530" s="376"/>
      <c r="B530" s="439"/>
      <c r="C530" s="439"/>
      <c r="D530" s="439"/>
      <c r="E530" s="376"/>
      <c r="F530" s="376"/>
      <c r="G530" s="376"/>
      <c r="AJ530" s="376"/>
      <c r="AK530" s="376"/>
      <c r="AL530" s="376"/>
    </row>
    <row r="531" spans="1:38" x14ac:dyDescent="0.25">
      <c r="A531" s="376"/>
      <c r="B531" s="439"/>
      <c r="C531" s="439"/>
      <c r="D531" s="439"/>
      <c r="E531" s="376"/>
      <c r="F531" s="376"/>
      <c r="G531" s="376"/>
      <c r="AJ531" s="376"/>
      <c r="AK531" s="376"/>
      <c r="AL531" s="376"/>
    </row>
    <row r="532" spans="1:38" x14ac:dyDescent="0.25">
      <c r="A532" s="376"/>
      <c r="B532" s="439"/>
      <c r="C532" s="439"/>
      <c r="D532" s="439"/>
      <c r="E532" s="376"/>
      <c r="F532" s="376"/>
      <c r="G532" s="376"/>
      <c r="AJ532" s="376"/>
      <c r="AK532" s="376"/>
      <c r="AL532" s="376"/>
    </row>
    <row r="533" spans="1:38" x14ac:dyDescent="0.25">
      <c r="A533" s="376"/>
      <c r="B533" s="439"/>
      <c r="C533" s="439"/>
      <c r="D533" s="439"/>
      <c r="E533" s="376"/>
      <c r="F533" s="376"/>
      <c r="G533" s="376"/>
      <c r="AJ533" s="376"/>
      <c r="AK533" s="376"/>
      <c r="AL533" s="376"/>
    </row>
    <row r="534" spans="1:38" x14ac:dyDescent="0.25">
      <c r="A534" s="376"/>
      <c r="B534" s="439"/>
      <c r="C534" s="439"/>
      <c r="D534" s="439"/>
      <c r="E534" s="376"/>
      <c r="F534" s="376"/>
      <c r="G534" s="376"/>
      <c r="AJ534" s="376"/>
      <c r="AK534" s="376"/>
      <c r="AL534" s="376"/>
    </row>
    <row r="535" spans="1:38" x14ac:dyDescent="0.25">
      <c r="A535" s="376"/>
      <c r="B535" s="439"/>
      <c r="C535" s="439"/>
      <c r="D535" s="439"/>
      <c r="E535" s="376"/>
      <c r="F535" s="376"/>
      <c r="G535" s="376"/>
      <c r="AJ535" s="376"/>
      <c r="AK535" s="376"/>
      <c r="AL535" s="376"/>
    </row>
    <row r="536" spans="1:38" x14ac:dyDescent="0.25">
      <c r="A536" s="376"/>
      <c r="B536" s="439"/>
      <c r="C536" s="439"/>
      <c r="D536" s="439"/>
      <c r="E536" s="376"/>
      <c r="F536" s="376"/>
      <c r="G536" s="376"/>
      <c r="AJ536" s="376"/>
      <c r="AK536" s="376"/>
      <c r="AL536" s="376"/>
    </row>
    <row r="537" spans="1:38" x14ac:dyDescent="0.25">
      <c r="A537" s="376"/>
      <c r="B537" s="439"/>
      <c r="C537" s="439"/>
      <c r="D537" s="439"/>
      <c r="E537" s="376"/>
      <c r="F537" s="376"/>
      <c r="G537" s="376"/>
      <c r="AJ537" s="376"/>
      <c r="AK537" s="376"/>
      <c r="AL537" s="376"/>
    </row>
    <row r="538" spans="1:38" x14ac:dyDescent="0.25">
      <c r="A538" s="376"/>
      <c r="B538" s="439"/>
      <c r="C538" s="439"/>
      <c r="D538" s="439"/>
      <c r="E538" s="376"/>
      <c r="F538" s="376"/>
      <c r="G538" s="376"/>
      <c r="AJ538" s="376"/>
      <c r="AK538" s="376"/>
      <c r="AL538" s="376"/>
    </row>
    <row r="539" spans="1:38" x14ac:dyDescent="0.25">
      <c r="A539" s="376"/>
      <c r="B539" s="439"/>
      <c r="C539" s="439"/>
      <c r="D539" s="439"/>
      <c r="E539" s="376"/>
      <c r="F539" s="376"/>
      <c r="G539" s="376"/>
      <c r="AJ539" s="376"/>
      <c r="AK539" s="376"/>
      <c r="AL539" s="376"/>
    </row>
    <row r="540" spans="1:38" x14ac:dyDescent="0.25">
      <c r="A540" s="376"/>
      <c r="B540" s="439"/>
      <c r="C540" s="439"/>
      <c r="D540" s="439"/>
      <c r="E540" s="376"/>
      <c r="F540" s="376"/>
      <c r="G540" s="376"/>
      <c r="AJ540" s="376"/>
      <c r="AK540" s="376"/>
      <c r="AL540" s="376"/>
    </row>
    <row r="541" spans="1:38" x14ac:dyDescent="0.25">
      <c r="A541" s="376"/>
      <c r="B541" s="439"/>
      <c r="C541" s="439"/>
      <c r="D541" s="439"/>
      <c r="E541" s="376"/>
      <c r="F541" s="376"/>
      <c r="G541" s="376"/>
      <c r="AJ541" s="376"/>
      <c r="AK541" s="376"/>
      <c r="AL541" s="376"/>
    </row>
    <row r="542" spans="1:38" x14ac:dyDescent="0.25">
      <c r="A542" s="376"/>
      <c r="B542" s="439"/>
      <c r="C542" s="439"/>
      <c r="D542" s="439"/>
      <c r="E542" s="376"/>
      <c r="F542" s="376"/>
      <c r="G542" s="376"/>
      <c r="AJ542" s="376"/>
      <c r="AK542" s="376"/>
      <c r="AL542" s="376"/>
    </row>
    <row r="543" spans="1:38" x14ac:dyDescent="0.25">
      <c r="A543" s="376"/>
      <c r="B543" s="439"/>
      <c r="C543" s="439"/>
      <c r="D543" s="439"/>
      <c r="E543" s="376"/>
      <c r="F543" s="376"/>
      <c r="G543" s="376"/>
      <c r="AJ543" s="376"/>
      <c r="AK543" s="376"/>
      <c r="AL543" s="376"/>
    </row>
    <row r="544" spans="1:38" x14ac:dyDescent="0.25">
      <c r="A544" s="376"/>
      <c r="B544" s="439"/>
      <c r="C544" s="439"/>
      <c r="D544" s="439"/>
      <c r="E544" s="376"/>
      <c r="F544" s="376"/>
      <c r="G544" s="376"/>
      <c r="AJ544" s="376"/>
      <c r="AK544" s="376"/>
      <c r="AL544" s="376"/>
    </row>
    <row r="545" spans="1:38" x14ac:dyDescent="0.25">
      <c r="A545" s="376"/>
      <c r="B545" s="439"/>
      <c r="C545" s="439"/>
      <c r="D545" s="439"/>
      <c r="E545" s="376"/>
      <c r="F545" s="376"/>
      <c r="G545" s="376"/>
      <c r="AJ545" s="376"/>
      <c r="AK545" s="376"/>
      <c r="AL545" s="376"/>
    </row>
    <row r="546" spans="1:38" x14ac:dyDescent="0.25">
      <c r="A546" s="376"/>
      <c r="B546" s="439"/>
      <c r="C546" s="439"/>
      <c r="D546" s="439"/>
      <c r="E546" s="376"/>
      <c r="F546" s="376"/>
      <c r="G546" s="376"/>
      <c r="AJ546" s="376"/>
      <c r="AK546" s="376"/>
      <c r="AL546" s="376"/>
    </row>
    <row r="547" spans="1:38" x14ac:dyDescent="0.25">
      <c r="A547" s="376"/>
      <c r="B547" s="439"/>
      <c r="C547" s="439"/>
      <c r="D547" s="439"/>
      <c r="E547" s="376"/>
      <c r="F547" s="376"/>
      <c r="G547" s="376"/>
      <c r="AJ547" s="376"/>
      <c r="AK547" s="376"/>
      <c r="AL547" s="376"/>
    </row>
    <row r="548" spans="1:38" x14ac:dyDescent="0.25">
      <c r="A548" s="376"/>
      <c r="B548" s="439"/>
      <c r="C548" s="439"/>
      <c r="D548" s="439"/>
      <c r="E548" s="376"/>
      <c r="F548" s="376"/>
      <c r="G548" s="376"/>
      <c r="AJ548" s="376"/>
      <c r="AK548" s="376"/>
      <c r="AL548" s="376"/>
    </row>
    <row r="549" spans="1:38" x14ac:dyDescent="0.25">
      <c r="A549" s="376"/>
      <c r="B549" s="439"/>
      <c r="C549" s="439"/>
      <c r="D549" s="439"/>
      <c r="E549" s="376"/>
      <c r="F549" s="376"/>
      <c r="G549" s="376"/>
      <c r="AJ549" s="376"/>
      <c r="AK549" s="376"/>
      <c r="AL549" s="376"/>
    </row>
    <row r="550" spans="1:38" x14ac:dyDescent="0.25">
      <c r="A550" s="376"/>
      <c r="B550" s="439"/>
      <c r="C550" s="439"/>
      <c r="D550" s="439"/>
      <c r="E550" s="376"/>
      <c r="F550" s="376"/>
      <c r="G550" s="376"/>
      <c r="AJ550" s="376"/>
      <c r="AK550" s="376"/>
      <c r="AL550" s="376"/>
    </row>
    <row r="551" spans="1:38" x14ac:dyDescent="0.25">
      <c r="A551" s="376"/>
      <c r="B551" s="439"/>
      <c r="C551" s="439"/>
      <c r="D551" s="439"/>
      <c r="E551" s="376"/>
      <c r="F551" s="376"/>
      <c r="G551" s="376"/>
      <c r="AJ551" s="376"/>
      <c r="AK551" s="376"/>
      <c r="AL551" s="376"/>
    </row>
    <row r="552" spans="1:38" x14ac:dyDescent="0.25">
      <c r="A552" s="376"/>
      <c r="B552" s="439"/>
      <c r="C552" s="439"/>
      <c r="D552" s="439"/>
      <c r="E552" s="376"/>
      <c r="F552" s="376"/>
      <c r="G552" s="376"/>
      <c r="AJ552" s="376"/>
      <c r="AK552" s="376"/>
      <c r="AL552" s="376"/>
    </row>
    <row r="553" spans="1:38" x14ac:dyDescent="0.25">
      <c r="A553" s="376"/>
      <c r="B553" s="439"/>
      <c r="C553" s="439"/>
      <c r="D553" s="439"/>
      <c r="E553" s="376"/>
      <c r="F553" s="376"/>
      <c r="G553" s="376"/>
      <c r="AJ553" s="376"/>
      <c r="AK553" s="376"/>
      <c r="AL553" s="376"/>
    </row>
    <row r="554" spans="1:38" x14ac:dyDescent="0.25">
      <c r="A554" s="376"/>
      <c r="B554" s="439"/>
      <c r="C554" s="439"/>
      <c r="D554" s="439"/>
      <c r="E554" s="376"/>
      <c r="F554" s="376"/>
      <c r="G554" s="376"/>
      <c r="AJ554" s="376"/>
      <c r="AK554" s="376"/>
      <c r="AL554" s="376"/>
    </row>
    <row r="555" spans="1:38" x14ac:dyDescent="0.25">
      <c r="A555" s="376"/>
      <c r="B555" s="439"/>
      <c r="C555" s="439"/>
      <c r="D555" s="439"/>
      <c r="E555" s="376"/>
      <c r="F555" s="376"/>
      <c r="G555" s="376"/>
      <c r="AJ555" s="376"/>
      <c r="AK555" s="376"/>
      <c r="AL555" s="376"/>
    </row>
    <row r="556" spans="1:38" x14ac:dyDescent="0.25">
      <c r="A556" s="376"/>
      <c r="B556" s="439"/>
      <c r="C556" s="439"/>
      <c r="D556" s="439"/>
      <c r="E556" s="376"/>
      <c r="F556" s="376"/>
      <c r="G556" s="376"/>
      <c r="AJ556" s="376"/>
      <c r="AK556" s="376"/>
      <c r="AL556" s="376"/>
    </row>
    <row r="557" spans="1:38" x14ac:dyDescent="0.25">
      <c r="A557" s="376"/>
      <c r="B557" s="439"/>
      <c r="C557" s="439"/>
      <c r="D557" s="439"/>
      <c r="E557" s="376"/>
      <c r="F557" s="376"/>
      <c r="G557" s="376"/>
      <c r="AJ557" s="376"/>
      <c r="AK557" s="376"/>
      <c r="AL557" s="376"/>
    </row>
    <row r="558" spans="1:38" x14ac:dyDescent="0.25">
      <c r="A558" s="376"/>
      <c r="B558" s="439"/>
      <c r="C558" s="439"/>
      <c r="D558" s="439"/>
      <c r="E558" s="376"/>
      <c r="F558" s="376"/>
      <c r="G558" s="376"/>
      <c r="AJ558" s="376"/>
      <c r="AK558" s="376"/>
      <c r="AL558" s="376"/>
    </row>
    <row r="559" spans="1:38" x14ac:dyDescent="0.25">
      <c r="A559" s="376"/>
      <c r="B559" s="439"/>
      <c r="C559" s="439"/>
      <c r="D559" s="439"/>
      <c r="E559" s="376"/>
      <c r="F559" s="376"/>
      <c r="G559" s="376"/>
      <c r="AJ559" s="376"/>
      <c r="AK559" s="376"/>
      <c r="AL559" s="376"/>
    </row>
    <row r="560" spans="1:38" x14ac:dyDescent="0.25">
      <c r="A560" s="376"/>
      <c r="B560" s="439"/>
      <c r="C560" s="439"/>
      <c r="D560" s="439"/>
      <c r="E560" s="376"/>
      <c r="F560" s="376"/>
      <c r="G560" s="376"/>
      <c r="AJ560" s="376"/>
      <c r="AK560" s="376"/>
      <c r="AL560" s="376"/>
    </row>
    <row r="561" spans="1:38" x14ac:dyDescent="0.25">
      <c r="A561" s="376"/>
      <c r="B561" s="439"/>
      <c r="C561" s="439"/>
      <c r="D561" s="439"/>
      <c r="E561" s="376"/>
      <c r="F561" s="376"/>
      <c r="G561" s="376"/>
      <c r="AJ561" s="376"/>
      <c r="AK561" s="376"/>
      <c r="AL561" s="376"/>
    </row>
    <row r="562" spans="1:38" x14ac:dyDescent="0.25">
      <c r="A562" s="376"/>
      <c r="B562" s="439"/>
      <c r="C562" s="439"/>
      <c r="D562" s="439"/>
      <c r="E562" s="376"/>
      <c r="F562" s="376"/>
      <c r="G562" s="376"/>
      <c r="AJ562" s="376"/>
      <c r="AK562" s="376"/>
      <c r="AL562" s="376"/>
    </row>
    <row r="563" spans="1:38" x14ac:dyDescent="0.25">
      <c r="A563" s="376"/>
      <c r="B563" s="439"/>
      <c r="C563" s="439"/>
      <c r="D563" s="439"/>
      <c r="E563" s="376"/>
      <c r="F563" s="376"/>
      <c r="G563" s="376"/>
      <c r="AJ563" s="376"/>
      <c r="AK563" s="376"/>
      <c r="AL563" s="376"/>
    </row>
    <row r="564" spans="1:38" x14ac:dyDescent="0.25">
      <c r="A564" s="376"/>
      <c r="B564" s="439"/>
      <c r="C564" s="439"/>
      <c r="D564" s="439"/>
      <c r="E564" s="376"/>
      <c r="F564" s="376"/>
      <c r="G564" s="376"/>
      <c r="AJ564" s="376"/>
      <c r="AK564" s="376"/>
      <c r="AL564" s="376"/>
    </row>
    <row r="565" spans="1:38" x14ac:dyDescent="0.25">
      <c r="A565" s="376"/>
      <c r="B565" s="439"/>
      <c r="C565" s="439"/>
      <c r="D565" s="439"/>
      <c r="E565" s="376"/>
      <c r="F565" s="376"/>
      <c r="G565" s="376"/>
      <c r="AJ565" s="376"/>
      <c r="AK565" s="376"/>
      <c r="AL565" s="376"/>
    </row>
    <row r="566" spans="1:38" x14ac:dyDescent="0.25">
      <c r="A566" s="376"/>
      <c r="B566" s="439"/>
      <c r="C566" s="439"/>
      <c r="D566" s="439"/>
      <c r="E566" s="376"/>
      <c r="F566" s="376"/>
      <c r="G566" s="376"/>
      <c r="AJ566" s="376"/>
      <c r="AK566" s="376"/>
      <c r="AL566" s="376"/>
    </row>
    <row r="567" spans="1:38" x14ac:dyDescent="0.25">
      <c r="A567" s="376"/>
      <c r="B567" s="439"/>
      <c r="C567" s="439"/>
      <c r="D567" s="439"/>
      <c r="E567" s="376"/>
      <c r="F567" s="376"/>
      <c r="G567" s="376"/>
      <c r="AJ567" s="376"/>
      <c r="AK567" s="376"/>
      <c r="AL567" s="376"/>
    </row>
    <row r="568" spans="1:38" x14ac:dyDescent="0.25">
      <c r="A568" s="376"/>
      <c r="B568" s="439"/>
      <c r="C568" s="439"/>
      <c r="D568" s="439"/>
      <c r="E568" s="376"/>
      <c r="F568" s="376"/>
      <c r="G568" s="376"/>
      <c r="AJ568" s="376"/>
      <c r="AK568" s="376"/>
      <c r="AL568" s="376"/>
    </row>
    <row r="569" spans="1:38" x14ac:dyDescent="0.25">
      <c r="A569" s="376"/>
      <c r="B569" s="439"/>
      <c r="C569" s="439"/>
      <c r="D569" s="439"/>
      <c r="E569" s="376"/>
      <c r="F569" s="376"/>
      <c r="G569" s="376"/>
      <c r="AJ569" s="376"/>
      <c r="AK569" s="376"/>
      <c r="AL569" s="376"/>
    </row>
    <row r="570" spans="1:38" x14ac:dyDescent="0.25">
      <c r="A570" s="376"/>
      <c r="B570" s="439"/>
      <c r="C570" s="439"/>
      <c r="D570" s="439"/>
      <c r="E570" s="376"/>
      <c r="F570" s="376"/>
      <c r="G570" s="376"/>
      <c r="AJ570" s="376"/>
      <c r="AK570" s="376"/>
      <c r="AL570" s="376"/>
    </row>
    <row r="571" spans="1:38" x14ac:dyDescent="0.25">
      <c r="A571" s="376"/>
      <c r="B571" s="439"/>
      <c r="C571" s="439"/>
      <c r="D571" s="439"/>
      <c r="E571" s="376"/>
      <c r="F571" s="376"/>
      <c r="G571" s="376"/>
      <c r="AJ571" s="376"/>
      <c r="AK571" s="376"/>
      <c r="AL571" s="376"/>
    </row>
    <row r="572" spans="1:38" x14ac:dyDescent="0.25">
      <c r="A572" s="376"/>
      <c r="B572" s="439"/>
      <c r="C572" s="439"/>
      <c r="D572" s="439"/>
      <c r="E572" s="376"/>
      <c r="F572" s="376"/>
      <c r="G572" s="376"/>
      <c r="AJ572" s="376"/>
      <c r="AK572" s="376"/>
      <c r="AL572" s="376"/>
    </row>
    <row r="573" spans="1:38" x14ac:dyDescent="0.25">
      <c r="A573" s="376"/>
      <c r="B573" s="439"/>
      <c r="C573" s="439"/>
      <c r="D573" s="439"/>
      <c r="E573" s="376"/>
      <c r="F573" s="376"/>
      <c r="G573" s="376"/>
      <c r="AJ573" s="376"/>
      <c r="AK573" s="376"/>
      <c r="AL573" s="376"/>
    </row>
    <row r="574" spans="1:38" x14ac:dyDescent="0.25">
      <c r="A574" s="376"/>
      <c r="B574" s="439"/>
      <c r="C574" s="439"/>
      <c r="D574" s="439"/>
      <c r="E574" s="376"/>
      <c r="F574" s="376"/>
      <c r="G574" s="376"/>
      <c r="AJ574" s="376"/>
      <c r="AK574" s="376"/>
      <c r="AL574" s="376"/>
    </row>
    <row r="575" spans="1:38" x14ac:dyDescent="0.25">
      <c r="A575" s="376"/>
      <c r="B575" s="439"/>
      <c r="C575" s="439"/>
      <c r="D575" s="439"/>
      <c r="E575" s="376"/>
      <c r="F575" s="376"/>
      <c r="G575" s="376"/>
      <c r="AJ575" s="376"/>
      <c r="AK575" s="376"/>
      <c r="AL575" s="376"/>
    </row>
    <row r="576" spans="1:38" x14ac:dyDescent="0.25">
      <c r="A576" s="376"/>
      <c r="B576" s="439"/>
      <c r="C576" s="439"/>
      <c r="D576" s="439"/>
      <c r="E576" s="376"/>
      <c r="F576" s="376"/>
      <c r="G576" s="376"/>
      <c r="AJ576" s="376"/>
      <c r="AK576" s="376"/>
      <c r="AL576" s="376"/>
    </row>
    <row r="577" spans="1:38" x14ac:dyDescent="0.25">
      <c r="A577" s="376"/>
      <c r="B577" s="439"/>
      <c r="C577" s="439"/>
      <c r="D577" s="439"/>
      <c r="E577" s="376"/>
      <c r="F577" s="376"/>
      <c r="G577" s="376"/>
      <c r="AJ577" s="376"/>
      <c r="AK577" s="376"/>
      <c r="AL577" s="376"/>
    </row>
    <row r="578" spans="1:38" x14ac:dyDescent="0.25">
      <c r="A578" s="376"/>
      <c r="B578" s="439"/>
      <c r="C578" s="439"/>
      <c r="D578" s="439"/>
      <c r="E578" s="376"/>
      <c r="F578" s="376"/>
      <c r="G578" s="376"/>
      <c r="AJ578" s="376"/>
      <c r="AK578" s="376"/>
      <c r="AL578" s="376"/>
    </row>
    <row r="579" spans="1:38" x14ac:dyDescent="0.25">
      <c r="A579" s="376"/>
      <c r="B579" s="439"/>
      <c r="C579" s="439"/>
      <c r="D579" s="439"/>
      <c r="E579" s="376"/>
      <c r="F579" s="376"/>
      <c r="G579" s="376"/>
      <c r="AJ579" s="376"/>
      <c r="AK579" s="376"/>
      <c r="AL579" s="376"/>
    </row>
    <row r="580" spans="1:38" x14ac:dyDescent="0.25">
      <c r="A580" s="376"/>
      <c r="B580" s="439"/>
      <c r="C580" s="439"/>
      <c r="D580" s="439"/>
      <c r="E580" s="376"/>
      <c r="F580" s="376"/>
      <c r="G580" s="376"/>
      <c r="AJ580" s="376"/>
      <c r="AK580" s="376"/>
      <c r="AL580" s="376"/>
    </row>
    <row r="581" spans="1:38" x14ac:dyDescent="0.25">
      <c r="A581" s="376"/>
      <c r="B581" s="439"/>
      <c r="C581" s="439"/>
      <c r="D581" s="439"/>
      <c r="E581" s="376"/>
      <c r="F581" s="376"/>
      <c r="G581" s="376"/>
      <c r="AJ581" s="376"/>
      <c r="AK581" s="376"/>
      <c r="AL581" s="376"/>
    </row>
    <row r="582" spans="1:38" x14ac:dyDescent="0.25">
      <c r="A582" s="376"/>
      <c r="B582" s="439"/>
      <c r="C582" s="439"/>
      <c r="D582" s="439"/>
      <c r="E582" s="376"/>
      <c r="F582" s="376"/>
      <c r="G582" s="376"/>
      <c r="AJ582" s="376"/>
      <c r="AK582" s="376"/>
      <c r="AL582" s="376"/>
    </row>
    <row r="583" spans="1:38" x14ac:dyDescent="0.25">
      <c r="A583" s="376"/>
      <c r="B583" s="439"/>
      <c r="C583" s="439"/>
      <c r="D583" s="439"/>
      <c r="E583" s="376"/>
      <c r="F583" s="376"/>
      <c r="G583" s="376"/>
      <c r="AJ583" s="376"/>
      <c r="AK583" s="376"/>
      <c r="AL583" s="376"/>
    </row>
    <row r="584" spans="1:38" x14ac:dyDescent="0.25">
      <c r="A584" s="376"/>
      <c r="B584" s="439"/>
      <c r="C584" s="439"/>
      <c r="D584" s="439"/>
      <c r="E584" s="376"/>
      <c r="F584" s="376"/>
      <c r="G584" s="376"/>
      <c r="AJ584" s="376"/>
      <c r="AK584" s="376"/>
      <c r="AL584" s="376"/>
    </row>
    <row r="585" spans="1:38" x14ac:dyDescent="0.25">
      <c r="A585" s="376"/>
      <c r="B585" s="439"/>
      <c r="C585" s="439"/>
      <c r="D585" s="439"/>
      <c r="E585" s="376"/>
      <c r="F585" s="376"/>
      <c r="G585" s="376"/>
      <c r="AJ585" s="376"/>
      <c r="AK585" s="376"/>
      <c r="AL585" s="376"/>
    </row>
    <row r="586" spans="1:38" x14ac:dyDescent="0.25">
      <c r="A586" s="376"/>
      <c r="B586" s="439"/>
      <c r="C586" s="439"/>
      <c r="D586" s="439"/>
      <c r="E586" s="376"/>
      <c r="F586" s="376"/>
      <c r="G586" s="376"/>
      <c r="AJ586" s="376"/>
      <c r="AK586" s="376"/>
      <c r="AL586" s="376"/>
    </row>
    <row r="587" spans="1:38" x14ac:dyDescent="0.25">
      <c r="A587" s="376"/>
      <c r="B587" s="439"/>
      <c r="C587" s="439"/>
      <c r="D587" s="439"/>
      <c r="E587" s="376"/>
      <c r="F587" s="376"/>
      <c r="G587" s="376"/>
      <c r="AJ587" s="376"/>
      <c r="AK587" s="376"/>
      <c r="AL587" s="376"/>
    </row>
    <row r="588" spans="1:38" x14ac:dyDescent="0.25">
      <c r="A588" s="376"/>
      <c r="B588" s="439"/>
      <c r="C588" s="439"/>
      <c r="D588" s="439"/>
      <c r="E588" s="376"/>
      <c r="F588" s="376"/>
      <c r="G588" s="376"/>
      <c r="AJ588" s="376"/>
      <c r="AK588" s="376"/>
      <c r="AL588" s="376"/>
    </row>
    <row r="589" spans="1:38" x14ac:dyDescent="0.25">
      <c r="A589" s="376"/>
      <c r="B589" s="439"/>
      <c r="C589" s="439"/>
      <c r="D589" s="439"/>
      <c r="E589" s="376"/>
      <c r="F589" s="376"/>
      <c r="G589" s="376"/>
      <c r="AJ589" s="376"/>
      <c r="AK589" s="376"/>
      <c r="AL589" s="376"/>
    </row>
    <row r="590" spans="1:38" x14ac:dyDescent="0.25">
      <c r="A590" s="376"/>
      <c r="B590" s="439"/>
      <c r="C590" s="439"/>
      <c r="D590" s="439"/>
      <c r="E590" s="376"/>
      <c r="F590" s="376"/>
      <c r="G590" s="376"/>
      <c r="AJ590" s="376"/>
      <c r="AK590" s="376"/>
      <c r="AL590" s="376"/>
    </row>
    <row r="591" spans="1:38" x14ac:dyDescent="0.25">
      <c r="A591" s="376"/>
      <c r="B591" s="439"/>
      <c r="C591" s="439"/>
      <c r="D591" s="439"/>
      <c r="E591" s="376"/>
      <c r="F591" s="376"/>
      <c r="G591" s="376"/>
      <c r="AJ591" s="376"/>
      <c r="AK591" s="376"/>
      <c r="AL591" s="376"/>
    </row>
    <row r="592" spans="1:38" x14ac:dyDescent="0.25">
      <c r="A592" s="376"/>
      <c r="B592" s="439"/>
      <c r="C592" s="439"/>
      <c r="D592" s="439"/>
      <c r="E592" s="376"/>
      <c r="F592" s="376"/>
      <c r="G592" s="376"/>
      <c r="AJ592" s="376"/>
      <c r="AK592" s="376"/>
      <c r="AL592" s="376"/>
    </row>
    <row r="593" spans="1:38" x14ac:dyDescent="0.25">
      <c r="A593" s="376"/>
      <c r="B593" s="439"/>
      <c r="C593" s="439"/>
      <c r="D593" s="439"/>
      <c r="E593" s="376"/>
      <c r="F593" s="376"/>
      <c r="G593" s="376"/>
      <c r="AJ593" s="376"/>
      <c r="AK593" s="376"/>
      <c r="AL593" s="376"/>
    </row>
    <row r="594" spans="1:38" x14ac:dyDescent="0.25">
      <c r="A594" s="376"/>
      <c r="B594" s="439"/>
      <c r="C594" s="439"/>
      <c r="D594" s="439"/>
      <c r="E594" s="376"/>
      <c r="F594" s="376"/>
      <c r="G594" s="376"/>
      <c r="AJ594" s="376"/>
      <c r="AK594" s="376"/>
      <c r="AL594" s="376"/>
    </row>
    <row r="595" spans="1:38" x14ac:dyDescent="0.25">
      <c r="A595" s="376"/>
      <c r="B595" s="439"/>
      <c r="C595" s="439"/>
      <c r="D595" s="439"/>
      <c r="E595" s="376"/>
      <c r="F595" s="376"/>
      <c r="G595" s="376"/>
      <c r="AJ595" s="376"/>
      <c r="AK595" s="376"/>
      <c r="AL595" s="376"/>
    </row>
    <row r="596" spans="1:38" x14ac:dyDescent="0.25">
      <c r="A596" s="376"/>
      <c r="B596" s="439"/>
      <c r="C596" s="439"/>
      <c r="D596" s="439"/>
      <c r="E596" s="376"/>
      <c r="F596" s="376"/>
      <c r="G596" s="376"/>
      <c r="AJ596" s="376"/>
      <c r="AK596" s="376"/>
      <c r="AL596" s="376"/>
    </row>
    <row r="597" spans="1:38" x14ac:dyDescent="0.25">
      <c r="A597" s="376"/>
      <c r="B597" s="439"/>
      <c r="C597" s="439"/>
      <c r="D597" s="439"/>
      <c r="E597" s="376"/>
      <c r="F597" s="376"/>
      <c r="G597" s="376"/>
      <c r="AJ597" s="376"/>
      <c r="AK597" s="376"/>
      <c r="AL597" s="376"/>
    </row>
    <row r="598" spans="1:38" x14ac:dyDescent="0.25">
      <c r="A598" s="376"/>
      <c r="B598" s="439"/>
      <c r="C598" s="439"/>
      <c r="D598" s="439"/>
      <c r="E598" s="376"/>
      <c r="F598" s="376"/>
      <c r="G598" s="376"/>
      <c r="AJ598" s="376"/>
      <c r="AK598" s="376"/>
      <c r="AL598" s="376"/>
    </row>
    <row r="599" spans="1:38" x14ac:dyDescent="0.25">
      <c r="A599" s="376"/>
      <c r="B599" s="439"/>
      <c r="C599" s="439"/>
      <c r="D599" s="439"/>
      <c r="E599" s="376"/>
      <c r="F599" s="376"/>
      <c r="G599" s="376"/>
      <c r="AJ599" s="376"/>
      <c r="AK599" s="376"/>
      <c r="AL599" s="376"/>
    </row>
    <row r="600" spans="1:38" x14ac:dyDescent="0.25">
      <c r="A600" s="376"/>
      <c r="B600" s="439"/>
      <c r="C600" s="439"/>
      <c r="D600" s="439"/>
      <c r="E600" s="376"/>
      <c r="F600" s="376"/>
      <c r="G600" s="376"/>
      <c r="AJ600" s="376"/>
      <c r="AK600" s="376"/>
      <c r="AL600" s="376"/>
    </row>
    <row r="601" spans="1:38" x14ac:dyDescent="0.25">
      <c r="A601" s="376"/>
      <c r="B601" s="439"/>
      <c r="C601" s="439"/>
      <c r="D601" s="439"/>
      <c r="E601" s="376"/>
      <c r="F601" s="376"/>
      <c r="G601" s="376"/>
      <c r="AJ601" s="376"/>
      <c r="AK601" s="376"/>
      <c r="AL601" s="376"/>
    </row>
    <row r="602" spans="1:38" x14ac:dyDescent="0.25">
      <c r="A602" s="376"/>
      <c r="B602" s="439"/>
      <c r="C602" s="439"/>
      <c r="D602" s="439"/>
      <c r="E602" s="376"/>
      <c r="F602" s="376"/>
      <c r="G602" s="376"/>
      <c r="AJ602" s="376"/>
      <c r="AK602" s="376"/>
      <c r="AL602" s="376"/>
    </row>
    <row r="603" spans="1:38" x14ac:dyDescent="0.25">
      <c r="A603" s="376"/>
      <c r="B603" s="439"/>
      <c r="C603" s="439"/>
      <c r="D603" s="439"/>
      <c r="E603" s="376"/>
      <c r="F603" s="376"/>
      <c r="G603" s="376"/>
      <c r="AJ603" s="376"/>
      <c r="AK603" s="376"/>
      <c r="AL603" s="376"/>
    </row>
    <row r="604" spans="1:38" x14ac:dyDescent="0.25">
      <c r="A604" s="376"/>
      <c r="B604" s="439"/>
      <c r="C604" s="439"/>
      <c r="D604" s="439"/>
      <c r="E604" s="376"/>
      <c r="F604" s="376"/>
      <c r="G604" s="376"/>
      <c r="AJ604" s="376"/>
      <c r="AK604" s="376"/>
      <c r="AL604" s="376"/>
    </row>
    <row r="605" spans="1:38" x14ac:dyDescent="0.25">
      <c r="A605" s="376"/>
      <c r="B605" s="439"/>
      <c r="C605" s="439"/>
      <c r="D605" s="439"/>
      <c r="E605" s="376"/>
      <c r="F605" s="376"/>
      <c r="G605" s="376"/>
      <c r="AJ605" s="376"/>
      <c r="AK605" s="376"/>
      <c r="AL605" s="376"/>
    </row>
    <row r="606" spans="1:38" x14ac:dyDescent="0.25">
      <c r="A606" s="376"/>
      <c r="B606" s="439"/>
      <c r="C606" s="439"/>
      <c r="D606" s="439"/>
      <c r="E606" s="376"/>
      <c r="F606" s="376"/>
      <c r="G606" s="376"/>
      <c r="AJ606" s="376"/>
      <c r="AK606" s="376"/>
      <c r="AL606" s="376"/>
    </row>
    <row r="607" spans="1:38" x14ac:dyDescent="0.25">
      <c r="A607" s="376"/>
      <c r="B607" s="439"/>
      <c r="C607" s="439"/>
      <c r="D607" s="439"/>
      <c r="E607" s="376"/>
      <c r="F607" s="376"/>
      <c r="G607" s="376"/>
      <c r="AJ607" s="376"/>
      <c r="AK607" s="376"/>
      <c r="AL607" s="376"/>
    </row>
    <row r="608" spans="1:38" x14ac:dyDescent="0.25">
      <c r="A608" s="376"/>
      <c r="B608" s="439"/>
      <c r="C608" s="439"/>
      <c r="D608" s="439"/>
      <c r="E608" s="376"/>
      <c r="F608" s="376"/>
      <c r="G608" s="376"/>
      <c r="AJ608" s="376"/>
      <c r="AK608" s="376"/>
      <c r="AL608" s="376"/>
    </row>
    <row r="609" spans="1:38" x14ac:dyDescent="0.25">
      <c r="A609" s="376"/>
      <c r="B609" s="439"/>
      <c r="C609" s="439"/>
      <c r="D609" s="439"/>
      <c r="E609" s="376"/>
      <c r="F609" s="376"/>
      <c r="G609" s="376"/>
      <c r="AJ609" s="376"/>
      <c r="AK609" s="376"/>
      <c r="AL609" s="376"/>
    </row>
    <row r="610" spans="1:38" x14ac:dyDescent="0.25">
      <c r="A610" s="376"/>
      <c r="B610" s="439"/>
      <c r="C610" s="439"/>
      <c r="D610" s="439"/>
      <c r="E610" s="376"/>
      <c r="F610" s="376"/>
      <c r="G610" s="376"/>
      <c r="AJ610" s="376"/>
      <c r="AK610" s="376"/>
      <c r="AL610" s="376"/>
    </row>
    <row r="611" spans="1:38" x14ac:dyDescent="0.25">
      <c r="A611" s="376"/>
      <c r="B611" s="439"/>
      <c r="C611" s="439"/>
      <c r="D611" s="439"/>
      <c r="E611" s="376"/>
      <c r="F611" s="376"/>
      <c r="G611" s="376"/>
      <c r="AJ611" s="376"/>
      <c r="AK611" s="376"/>
      <c r="AL611" s="376"/>
    </row>
    <row r="612" spans="1:38" x14ac:dyDescent="0.25">
      <c r="A612" s="376"/>
      <c r="B612" s="439"/>
      <c r="C612" s="439"/>
      <c r="D612" s="439"/>
      <c r="E612" s="376"/>
      <c r="F612" s="376"/>
      <c r="G612" s="376"/>
      <c r="AJ612" s="376"/>
      <c r="AK612" s="376"/>
      <c r="AL612" s="376"/>
    </row>
    <row r="613" spans="1:38" x14ac:dyDescent="0.25">
      <c r="A613" s="376"/>
      <c r="B613" s="439"/>
      <c r="C613" s="439"/>
      <c r="D613" s="439"/>
      <c r="E613" s="376"/>
      <c r="F613" s="376"/>
      <c r="G613" s="376"/>
      <c r="AJ613" s="376"/>
      <c r="AK613" s="376"/>
      <c r="AL613" s="376"/>
    </row>
    <row r="614" spans="1:38" x14ac:dyDescent="0.25">
      <c r="A614" s="376"/>
      <c r="B614" s="439"/>
      <c r="C614" s="439"/>
      <c r="D614" s="439"/>
      <c r="E614" s="376"/>
      <c r="F614" s="376"/>
      <c r="G614" s="376"/>
      <c r="AJ614" s="376"/>
      <c r="AK614" s="376"/>
      <c r="AL614" s="376"/>
    </row>
    <row r="615" spans="1:38" x14ac:dyDescent="0.25">
      <c r="A615" s="376"/>
      <c r="B615" s="439"/>
      <c r="C615" s="439"/>
      <c r="D615" s="439"/>
      <c r="E615" s="376"/>
      <c r="F615" s="376"/>
      <c r="G615" s="376"/>
      <c r="AJ615" s="376"/>
      <c r="AK615" s="376"/>
      <c r="AL615" s="376"/>
    </row>
    <row r="616" spans="1:38" x14ac:dyDescent="0.25">
      <c r="A616" s="376"/>
      <c r="B616" s="439"/>
      <c r="C616" s="439"/>
      <c r="D616" s="439"/>
      <c r="E616" s="376"/>
      <c r="F616" s="376"/>
      <c r="G616" s="376"/>
      <c r="AJ616" s="376"/>
      <c r="AK616" s="376"/>
      <c r="AL616" s="376"/>
    </row>
    <row r="617" spans="1:38" x14ac:dyDescent="0.25">
      <c r="A617" s="376"/>
      <c r="B617" s="439"/>
      <c r="C617" s="439"/>
      <c r="D617" s="439"/>
      <c r="E617" s="376"/>
      <c r="F617" s="376"/>
      <c r="G617" s="376"/>
      <c r="AJ617" s="376"/>
      <c r="AK617" s="376"/>
      <c r="AL617" s="376"/>
    </row>
    <row r="618" spans="1:38" x14ac:dyDescent="0.25">
      <c r="A618" s="376"/>
      <c r="B618" s="439"/>
      <c r="C618" s="439"/>
      <c r="D618" s="439"/>
      <c r="E618" s="376"/>
      <c r="F618" s="376"/>
      <c r="G618" s="376"/>
      <c r="AJ618" s="376"/>
      <c r="AK618" s="376"/>
      <c r="AL618" s="376"/>
    </row>
    <row r="619" spans="1:38" x14ac:dyDescent="0.25">
      <c r="A619" s="376"/>
      <c r="B619" s="439"/>
      <c r="C619" s="439"/>
      <c r="D619" s="439"/>
      <c r="E619" s="376"/>
      <c r="F619" s="376"/>
      <c r="G619" s="376"/>
      <c r="AJ619" s="376"/>
      <c r="AK619" s="376"/>
      <c r="AL619" s="376"/>
    </row>
    <row r="620" spans="1:38" x14ac:dyDescent="0.25">
      <c r="A620" s="376"/>
      <c r="B620" s="439"/>
      <c r="C620" s="439"/>
      <c r="D620" s="439"/>
      <c r="E620" s="376"/>
      <c r="F620" s="376"/>
      <c r="G620" s="376"/>
      <c r="AJ620" s="376"/>
      <c r="AK620" s="376"/>
      <c r="AL620" s="376"/>
    </row>
    <row r="621" spans="1:38" x14ac:dyDescent="0.25">
      <c r="A621" s="376"/>
      <c r="B621" s="439"/>
      <c r="C621" s="439"/>
      <c r="D621" s="439"/>
      <c r="E621" s="376"/>
      <c r="F621" s="376"/>
      <c r="G621" s="376"/>
      <c r="AJ621" s="376"/>
      <c r="AK621" s="376"/>
      <c r="AL621" s="376"/>
    </row>
    <row r="622" spans="1:38" x14ac:dyDescent="0.25">
      <c r="A622" s="376"/>
      <c r="B622" s="439"/>
      <c r="C622" s="439"/>
      <c r="D622" s="439"/>
      <c r="E622" s="376"/>
      <c r="F622" s="376"/>
      <c r="G622" s="376"/>
      <c r="AJ622" s="376"/>
      <c r="AK622" s="376"/>
      <c r="AL622" s="376"/>
    </row>
    <row r="623" spans="1:38" x14ac:dyDescent="0.25">
      <c r="A623" s="376"/>
      <c r="B623" s="439"/>
      <c r="C623" s="439"/>
      <c r="D623" s="439"/>
      <c r="E623" s="376"/>
      <c r="F623" s="376"/>
      <c r="G623" s="376"/>
      <c r="AJ623" s="376"/>
      <c r="AK623" s="376"/>
      <c r="AL623" s="376"/>
    </row>
    <row r="624" spans="1:38" x14ac:dyDescent="0.25">
      <c r="A624" s="376"/>
      <c r="B624" s="439"/>
      <c r="C624" s="439"/>
      <c r="D624" s="439"/>
      <c r="E624" s="376"/>
      <c r="F624" s="376"/>
      <c r="G624" s="376"/>
      <c r="AJ624" s="376"/>
      <c r="AK624" s="376"/>
      <c r="AL624" s="376"/>
    </row>
    <row r="625" spans="1:38" x14ac:dyDescent="0.25">
      <c r="A625" s="376"/>
      <c r="B625" s="439"/>
      <c r="C625" s="439"/>
      <c r="D625" s="439"/>
      <c r="E625" s="376"/>
      <c r="F625" s="376"/>
      <c r="G625" s="376"/>
      <c r="AJ625" s="376"/>
      <c r="AK625" s="376"/>
      <c r="AL625" s="376"/>
    </row>
    <row r="626" spans="1:38" x14ac:dyDescent="0.25">
      <c r="A626" s="376"/>
      <c r="B626" s="439"/>
      <c r="C626" s="439"/>
      <c r="D626" s="439"/>
      <c r="E626" s="376"/>
      <c r="F626" s="376"/>
      <c r="G626" s="376"/>
      <c r="AJ626" s="376"/>
      <c r="AK626" s="376"/>
      <c r="AL626" s="376"/>
    </row>
    <row r="627" spans="1:38" x14ac:dyDescent="0.25">
      <c r="A627" s="376"/>
      <c r="B627" s="439"/>
      <c r="C627" s="439"/>
      <c r="D627" s="439"/>
      <c r="E627" s="376"/>
      <c r="F627" s="376"/>
      <c r="G627" s="376"/>
      <c r="AJ627" s="376"/>
      <c r="AK627" s="376"/>
      <c r="AL627" s="376"/>
    </row>
    <row r="628" spans="1:38" x14ac:dyDescent="0.25">
      <c r="A628" s="376"/>
      <c r="B628" s="439"/>
      <c r="C628" s="439"/>
      <c r="D628" s="439"/>
      <c r="E628" s="376"/>
      <c r="F628" s="376"/>
      <c r="G628" s="376"/>
      <c r="AJ628" s="376"/>
      <c r="AK628" s="376"/>
      <c r="AL628" s="376"/>
    </row>
    <row r="629" spans="1:38" x14ac:dyDescent="0.25">
      <c r="A629" s="376"/>
      <c r="B629" s="439"/>
      <c r="C629" s="439"/>
      <c r="D629" s="439"/>
      <c r="E629" s="376"/>
      <c r="F629" s="376"/>
      <c r="G629" s="376"/>
      <c r="AJ629" s="376"/>
      <c r="AK629" s="376"/>
      <c r="AL629" s="376"/>
    </row>
    <row r="630" spans="1:38" x14ac:dyDescent="0.25">
      <c r="A630" s="376"/>
      <c r="B630" s="439"/>
      <c r="C630" s="439"/>
      <c r="D630" s="439"/>
      <c r="E630" s="376"/>
      <c r="F630" s="376"/>
      <c r="G630" s="376"/>
      <c r="AJ630" s="376"/>
      <c r="AK630" s="376"/>
      <c r="AL630" s="376"/>
    </row>
    <row r="631" spans="1:38" x14ac:dyDescent="0.25">
      <c r="A631" s="376"/>
      <c r="B631" s="439"/>
      <c r="C631" s="439"/>
      <c r="D631" s="439"/>
      <c r="E631" s="376"/>
      <c r="F631" s="376"/>
      <c r="G631" s="376"/>
      <c r="AJ631" s="376"/>
      <c r="AK631" s="376"/>
      <c r="AL631" s="376"/>
    </row>
    <row r="632" spans="1:38" x14ac:dyDescent="0.25">
      <c r="A632" s="376"/>
      <c r="B632" s="439"/>
      <c r="C632" s="439"/>
      <c r="D632" s="439"/>
      <c r="E632" s="376"/>
      <c r="F632" s="376"/>
      <c r="G632" s="376"/>
      <c r="AJ632" s="376"/>
      <c r="AK632" s="376"/>
      <c r="AL632" s="376"/>
    </row>
    <row r="633" spans="1:38" x14ac:dyDescent="0.25">
      <c r="A633" s="376"/>
      <c r="B633" s="439"/>
      <c r="C633" s="439"/>
      <c r="D633" s="439"/>
      <c r="E633" s="376"/>
      <c r="F633" s="376"/>
      <c r="G633" s="376"/>
      <c r="AJ633" s="376"/>
      <c r="AK633" s="376"/>
      <c r="AL633" s="376"/>
    </row>
    <row r="634" spans="1:38" x14ac:dyDescent="0.25">
      <c r="A634" s="376"/>
      <c r="B634" s="439"/>
      <c r="C634" s="439"/>
      <c r="D634" s="439"/>
      <c r="E634" s="376"/>
      <c r="F634" s="376"/>
      <c r="G634" s="376"/>
      <c r="AJ634" s="376"/>
      <c r="AK634" s="376"/>
      <c r="AL634" s="376"/>
    </row>
    <row r="635" spans="1:38" x14ac:dyDescent="0.25">
      <c r="A635" s="376"/>
      <c r="B635" s="439"/>
      <c r="C635" s="439"/>
      <c r="D635" s="439"/>
      <c r="E635" s="376"/>
      <c r="F635" s="376"/>
      <c r="G635" s="376"/>
      <c r="AJ635" s="376"/>
      <c r="AK635" s="376"/>
      <c r="AL635" s="376"/>
    </row>
    <row r="636" spans="1:38" x14ac:dyDescent="0.25">
      <c r="A636" s="376"/>
      <c r="B636" s="439"/>
      <c r="C636" s="439"/>
      <c r="D636" s="439"/>
      <c r="E636" s="376"/>
      <c r="F636" s="376"/>
      <c r="G636" s="376"/>
      <c r="AJ636" s="376"/>
      <c r="AK636" s="376"/>
      <c r="AL636" s="376"/>
    </row>
    <row r="637" spans="1:38" x14ac:dyDescent="0.25">
      <c r="A637" s="376"/>
      <c r="B637" s="439"/>
      <c r="C637" s="439"/>
      <c r="D637" s="439"/>
      <c r="E637" s="376"/>
      <c r="F637" s="376"/>
      <c r="G637" s="376"/>
      <c r="AJ637" s="376"/>
      <c r="AK637" s="376"/>
      <c r="AL637" s="376"/>
    </row>
    <row r="638" spans="1:38" x14ac:dyDescent="0.25">
      <c r="A638" s="376"/>
      <c r="B638" s="439"/>
      <c r="C638" s="439"/>
      <c r="D638" s="439"/>
      <c r="E638" s="376"/>
      <c r="F638" s="376"/>
      <c r="G638" s="376"/>
      <c r="AJ638" s="376"/>
      <c r="AK638" s="376"/>
      <c r="AL638" s="376"/>
    </row>
    <row r="639" spans="1:38" x14ac:dyDescent="0.25">
      <c r="A639" s="376"/>
      <c r="B639" s="439"/>
      <c r="C639" s="439"/>
      <c r="D639" s="439"/>
      <c r="E639" s="376"/>
      <c r="F639" s="376"/>
      <c r="G639" s="376"/>
      <c r="AJ639" s="376"/>
      <c r="AK639" s="376"/>
      <c r="AL639" s="376"/>
    </row>
    <row r="640" spans="1:38" x14ac:dyDescent="0.25">
      <c r="A640" s="376"/>
      <c r="B640" s="439"/>
      <c r="C640" s="439"/>
      <c r="D640" s="439"/>
      <c r="E640" s="376"/>
      <c r="F640" s="376"/>
      <c r="G640" s="376"/>
      <c r="AJ640" s="376"/>
      <c r="AK640" s="376"/>
      <c r="AL640" s="376"/>
    </row>
    <row r="641" spans="1:38" x14ac:dyDescent="0.25">
      <c r="A641" s="376"/>
      <c r="B641" s="439"/>
      <c r="C641" s="439"/>
      <c r="D641" s="439"/>
      <c r="E641" s="376"/>
      <c r="F641" s="376"/>
      <c r="G641" s="376"/>
      <c r="AJ641" s="376"/>
      <c r="AK641" s="376"/>
      <c r="AL641" s="376"/>
    </row>
    <row r="642" spans="1:38" x14ac:dyDescent="0.25">
      <c r="A642" s="376"/>
      <c r="B642" s="439"/>
      <c r="C642" s="439"/>
      <c r="D642" s="439"/>
      <c r="E642" s="376"/>
      <c r="F642" s="376"/>
      <c r="G642" s="376"/>
      <c r="AJ642" s="376"/>
      <c r="AK642" s="376"/>
      <c r="AL642" s="376"/>
    </row>
    <row r="643" spans="1:38" x14ac:dyDescent="0.25">
      <c r="A643" s="376"/>
      <c r="B643" s="439"/>
      <c r="C643" s="439"/>
      <c r="D643" s="439"/>
      <c r="E643" s="376"/>
      <c r="F643" s="376"/>
      <c r="G643" s="376"/>
      <c r="AJ643" s="376"/>
      <c r="AK643" s="376"/>
      <c r="AL643" s="376"/>
    </row>
    <row r="644" spans="1:38" x14ac:dyDescent="0.25">
      <c r="A644" s="376"/>
      <c r="B644" s="439"/>
      <c r="C644" s="439"/>
      <c r="D644" s="439"/>
      <c r="E644" s="376"/>
      <c r="F644" s="376"/>
      <c r="G644" s="376"/>
      <c r="AJ644" s="376"/>
      <c r="AK644" s="376"/>
      <c r="AL644" s="376"/>
    </row>
    <row r="645" spans="1:38" x14ac:dyDescent="0.25">
      <c r="A645" s="376"/>
      <c r="B645" s="439"/>
      <c r="C645" s="439"/>
      <c r="D645" s="439"/>
      <c r="E645" s="376"/>
      <c r="F645" s="376"/>
      <c r="G645" s="376"/>
      <c r="AJ645" s="376"/>
      <c r="AK645" s="376"/>
      <c r="AL645" s="376"/>
    </row>
    <row r="646" spans="1:38" x14ac:dyDescent="0.25">
      <c r="A646" s="376"/>
      <c r="B646" s="439"/>
      <c r="C646" s="439"/>
      <c r="D646" s="439"/>
      <c r="E646" s="376"/>
      <c r="F646" s="376"/>
      <c r="G646" s="376"/>
      <c r="AJ646" s="376"/>
      <c r="AK646" s="376"/>
      <c r="AL646" s="376"/>
    </row>
    <row r="647" spans="1:38" x14ac:dyDescent="0.25">
      <c r="A647" s="376"/>
      <c r="B647" s="439"/>
      <c r="C647" s="439"/>
      <c r="D647" s="439"/>
      <c r="E647" s="376"/>
      <c r="F647" s="376"/>
      <c r="G647" s="376"/>
      <c r="AJ647" s="376"/>
      <c r="AK647" s="376"/>
      <c r="AL647" s="376"/>
    </row>
    <row r="648" spans="1:38" x14ac:dyDescent="0.25">
      <c r="A648" s="376"/>
      <c r="B648" s="439"/>
      <c r="C648" s="439"/>
      <c r="D648" s="439"/>
      <c r="E648" s="376"/>
      <c r="F648" s="376"/>
      <c r="G648" s="376"/>
      <c r="AJ648" s="376"/>
      <c r="AK648" s="376"/>
      <c r="AL648" s="376"/>
    </row>
    <row r="649" spans="1:38" x14ac:dyDescent="0.25">
      <c r="A649" s="376"/>
      <c r="B649" s="439"/>
      <c r="C649" s="439"/>
      <c r="D649" s="439"/>
      <c r="E649" s="376"/>
      <c r="F649" s="376"/>
      <c r="G649" s="376"/>
      <c r="AJ649" s="376"/>
      <c r="AK649" s="376"/>
      <c r="AL649" s="376"/>
    </row>
    <row r="650" spans="1:38" x14ac:dyDescent="0.25">
      <c r="A650" s="376"/>
      <c r="B650" s="439"/>
      <c r="C650" s="439"/>
      <c r="D650" s="439"/>
      <c r="E650" s="376"/>
      <c r="F650" s="376"/>
      <c r="G650" s="376"/>
      <c r="AJ650" s="376"/>
      <c r="AK650" s="376"/>
      <c r="AL650" s="376"/>
    </row>
    <row r="651" spans="1:38" x14ac:dyDescent="0.25">
      <c r="A651" s="376"/>
      <c r="B651" s="439"/>
      <c r="C651" s="439"/>
      <c r="D651" s="439"/>
      <c r="E651" s="376"/>
      <c r="F651" s="376"/>
      <c r="G651" s="376"/>
      <c r="AJ651" s="376"/>
      <c r="AK651" s="376"/>
      <c r="AL651" s="376"/>
    </row>
    <row r="652" spans="1:38" x14ac:dyDescent="0.25">
      <c r="A652" s="376"/>
      <c r="B652" s="439"/>
      <c r="C652" s="439"/>
      <c r="D652" s="439"/>
      <c r="E652" s="376"/>
      <c r="F652" s="376"/>
      <c r="G652" s="376"/>
      <c r="AJ652" s="376"/>
      <c r="AK652" s="376"/>
      <c r="AL652" s="376"/>
    </row>
    <row r="653" spans="1:38" x14ac:dyDescent="0.25">
      <c r="A653" s="376"/>
      <c r="B653" s="439"/>
      <c r="C653" s="439"/>
      <c r="D653" s="439"/>
      <c r="E653" s="376"/>
      <c r="F653" s="376"/>
      <c r="G653" s="376"/>
      <c r="AJ653" s="376"/>
      <c r="AK653" s="376"/>
      <c r="AL653" s="376"/>
    </row>
    <row r="654" spans="1:38" x14ac:dyDescent="0.25">
      <c r="A654" s="376"/>
      <c r="B654" s="439"/>
      <c r="C654" s="439"/>
      <c r="D654" s="439"/>
      <c r="E654" s="376"/>
      <c r="F654" s="376"/>
      <c r="G654" s="376"/>
      <c r="AJ654" s="376"/>
      <c r="AK654" s="376"/>
      <c r="AL654" s="376"/>
    </row>
    <row r="655" spans="1:38" x14ac:dyDescent="0.25">
      <c r="A655" s="376"/>
      <c r="B655" s="439"/>
      <c r="C655" s="439"/>
      <c r="D655" s="439"/>
      <c r="E655" s="376"/>
      <c r="F655" s="376"/>
      <c r="G655" s="376"/>
      <c r="AJ655" s="376"/>
      <c r="AK655" s="376"/>
      <c r="AL655" s="376"/>
    </row>
    <row r="656" spans="1:38" x14ac:dyDescent="0.25">
      <c r="A656" s="376"/>
      <c r="B656" s="439"/>
      <c r="C656" s="439"/>
      <c r="D656" s="439"/>
      <c r="E656" s="376"/>
      <c r="F656" s="376"/>
      <c r="G656" s="376"/>
      <c r="AJ656" s="376"/>
      <c r="AK656" s="376"/>
      <c r="AL656" s="376"/>
    </row>
    <row r="657" spans="1:38" x14ac:dyDescent="0.25">
      <c r="A657" s="376"/>
      <c r="B657" s="439"/>
      <c r="C657" s="439"/>
      <c r="D657" s="439"/>
      <c r="E657" s="376"/>
      <c r="F657" s="376"/>
      <c r="G657" s="376"/>
      <c r="AJ657" s="376"/>
      <c r="AK657" s="376"/>
      <c r="AL657" s="376"/>
    </row>
    <row r="658" spans="1:38" x14ac:dyDescent="0.25">
      <c r="A658" s="376"/>
      <c r="B658" s="439"/>
      <c r="C658" s="439"/>
      <c r="D658" s="439"/>
      <c r="E658" s="376"/>
      <c r="F658" s="376"/>
      <c r="G658" s="376"/>
      <c r="AJ658" s="376"/>
      <c r="AK658" s="376"/>
      <c r="AL658" s="376"/>
    </row>
    <row r="659" spans="1:38" x14ac:dyDescent="0.25">
      <c r="A659" s="376"/>
      <c r="B659" s="439"/>
      <c r="C659" s="439"/>
      <c r="D659" s="439"/>
      <c r="E659" s="376"/>
      <c r="F659" s="376"/>
      <c r="G659" s="376"/>
      <c r="AJ659" s="376"/>
      <c r="AK659" s="376"/>
      <c r="AL659" s="376"/>
    </row>
    <row r="660" spans="1:38" x14ac:dyDescent="0.25">
      <c r="A660" s="376"/>
      <c r="B660" s="439"/>
      <c r="C660" s="439"/>
      <c r="D660" s="439"/>
      <c r="E660" s="376"/>
      <c r="F660" s="376"/>
      <c r="G660" s="376"/>
      <c r="AJ660" s="376"/>
      <c r="AK660" s="376"/>
      <c r="AL660" s="376"/>
    </row>
    <row r="661" spans="1:38" x14ac:dyDescent="0.25">
      <c r="A661" s="376"/>
      <c r="B661" s="439"/>
      <c r="C661" s="439"/>
      <c r="D661" s="439"/>
      <c r="E661" s="376"/>
      <c r="F661" s="376"/>
      <c r="G661" s="376"/>
      <c r="AJ661" s="376"/>
      <c r="AK661" s="376"/>
      <c r="AL661" s="376"/>
    </row>
    <row r="662" spans="1:38" x14ac:dyDescent="0.25">
      <c r="A662" s="376"/>
      <c r="B662" s="439"/>
      <c r="C662" s="439"/>
      <c r="D662" s="439"/>
      <c r="E662" s="376"/>
      <c r="F662" s="376"/>
      <c r="G662" s="376"/>
      <c r="AJ662" s="376"/>
      <c r="AK662" s="376"/>
      <c r="AL662" s="376"/>
    </row>
    <row r="663" spans="1:38" x14ac:dyDescent="0.25">
      <c r="A663" s="376"/>
      <c r="B663" s="439"/>
      <c r="C663" s="439"/>
      <c r="D663" s="439"/>
      <c r="E663" s="376"/>
      <c r="F663" s="376"/>
      <c r="G663" s="376"/>
      <c r="AJ663" s="376"/>
      <c r="AK663" s="376"/>
      <c r="AL663" s="376"/>
    </row>
    <row r="664" spans="1:38" x14ac:dyDescent="0.25">
      <c r="A664" s="376"/>
      <c r="B664" s="439"/>
      <c r="C664" s="439"/>
      <c r="D664" s="439"/>
      <c r="E664" s="376"/>
      <c r="F664" s="376"/>
      <c r="G664" s="376"/>
      <c r="AJ664" s="376"/>
      <c r="AK664" s="376"/>
      <c r="AL664" s="376"/>
    </row>
    <row r="665" spans="1:38" x14ac:dyDescent="0.25">
      <c r="A665" s="376"/>
      <c r="B665" s="439"/>
      <c r="C665" s="439"/>
      <c r="D665" s="439"/>
      <c r="E665" s="376"/>
      <c r="F665" s="376"/>
      <c r="G665" s="376"/>
      <c r="AJ665" s="376"/>
      <c r="AK665" s="376"/>
      <c r="AL665" s="376"/>
    </row>
    <row r="666" spans="1:38" x14ac:dyDescent="0.25">
      <c r="A666" s="376"/>
      <c r="B666" s="439"/>
      <c r="C666" s="439"/>
      <c r="D666" s="439"/>
      <c r="E666" s="376"/>
      <c r="F666" s="376"/>
      <c r="G666" s="376"/>
      <c r="AJ666" s="376"/>
      <c r="AK666" s="376"/>
      <c r="AL666" s="376"/>
    </row>
    <row r="667" spans="1:38" x14ac:dyDescent="0.25">
      <c r="A667" s="376"/>
      <c r="B667" s="439"/>
      <c r="C667" s="439"/>
      <c r="D667" s="439"/>
      <c r="E667" s="376"/>
      <c r="F667" s="376"/>
      <c r="G667" s="376"/>
      <c r="AJ667" s="376"/>
      <c r="AK667" s="376"/>
      <c r="AL667" s="376"/>
    </row>
    <row r="668" spans="1:38" x14ac:dyDescent="0.25">
      <c r="A668" s="376"/>
      <c r="B668" s="439"/>
      <c r="C668" s="439"/>
      <c r="D668" s="439"/>
      <c r="E668" s="376"/>
      <c r="F668" s="376"/>
      <c r="G668" s="376"/>
      <c r="AJ668" s="376"/>
      <c r="AK668" s="376"/>
      <c r="AL668" s="376"/>
    </row>
    <row r="669" spans="1:38" x14ac:dyDescent="0.25">
      <c r="A669" s="376"/>
      <c r="B669" s="439"/>
      <c r="C669" s="439"/>
      <c r="D669" s="439"/>
      <c r="E669" s="376"/>
      <c r="F669" s="376"/>
      <c r="G669" s="376"/>
      <c r="AJ669" s="376"/>
      <c r="AK669" s="376"/>
      <c r="AL669" s="376"/>
    </row>
    <row r="670" spans="1:38" x14ac:dyDescent="0.25">
      <c r="A670" s="376"/>
      <c r="B670" s="439"/>
      <c r="C670" s="439"/>
      <c r="D670" s="439"/>
      <c r="E670" s="376"/>
      <c r="F670" s="376"/>
      <c r="G670" s="376"/>
      <c r="AJ670" s="376"/>
      <c r="AK670" s="376"/>
      <c r="AL670" s="376"/>
    </row>
    <row r="671" spans="1:38" x14ac:dyDescent="0.25">
      <c r="A671" s="376"/>
      <c r="B671" s="439"/>
      <c r="C671" s="439"/>
      <c r="D671" s="439"/>
      <c r="E671" s="376"/>
      <c r="F671" s="376"/>
      <c r="G671" s="376"/>
      <c r="AJ671" s="376"/>
      <c r="AK671" s="376"/>
      <c r="AL671" s="376"/>
    </row>
    <row r="672" spans="1:38" x14ac:dyDescent="0.25">
      <c r="A672" s="376"/>
      <c r="B672" s="439"/>
      <c r="C672" s="439"/>
      <c r="D672" s="439"/>
      <c r="E672" s="376"/>
      <c r="F672" s="376"/>
      <c r="G672" s="376"/>
      <c r="AJ672" s="376"/>
      <c r="AK672" s="376"/>
      <c r="AL672" s="376"/>
    </row>
    <row r="673" spans="1:38" x14ac:dyDescent="0.25">
      <c r="A673" s="376"/>
      <c r="B673" s="439"/>
      <c r="C673" s="439"/>
      <c r="D673" s="439"/>
      <c r="E673" s="376"/>
      <c r="F673" s="376"/>
      <c r="G673" s="376"/>
      <c r="AJ673" s="376"/>
      <c r="AK673" s="376"/>
      <c r="AL673" s="376"/>
    </row>
    <row r="674" spans="1:38" x14ac:dyDescent="0.25">
      <c r="A674" s="376"/>
      <c r="B674" s="439"/>
      <c r="C674" s="439"/>
      <c r="D674" s="439"/>
      <c r="E674" s="376"/>
      <c r="F674" s="376"/>
      <c r="G674" s="376"/>
      <c r="AJ674" s="376"/>
      <c r="AK674" s="376"/>
      <c r="AL674" s="376"/>
    </row>
    <row r="675" spans="1:38" x14ac:dyDescent="0.25">
      <c r="A675" s="376"/>
      <c r="B675" s="439"/>
      <c r="C675" s="439"/>
      <c r="D675" s="439"/>
      <c r="E675" s="376"/>
      <c r="F675" s="376"/>
      <c r="G675" s="376"/>
      <c r="AJ675" s="376"/>
      <c r="AK675" s="376"/>
      <c r="AL675" s="376"/>
    </row>
    <row r="676" spans="1:38" x14ac:dyDescent="0.25">
      <c r="A676" s="376"/>
      <c r="B676" s="439"/>
      <c r="C676" s="439"/>
      <c r="D676" s="439"/>
      <c r="E676" s="376"/>
      <c r="F676" s="376"/>
      <c r="G676" s="376"/>
      <c r="AJ676" s="376"/>
      <c r="AK676" s="376"/>
      <c r="AL676" s="376"/>
    </row>
    <row r="677" spans="1:38" x14ac:dyDescent="0.25">
      <c r="A677" s="376"/>
      <c r="B677" s="439"/>
      <c r="C677" s="439"/>
      <c r="D677" s="439"/>
      <c r="E677" s="376"/>
      <c r="F677" s="376"/>
      <c r="G677" s="376"/>
      <c r="AJ677" s="376"/>
      <c r="AK677" s="376"/>
      <c r="AL677" s="376"/>
    </row>
    <row r="678" spans="1:38" x14ac:dyDescent="0.25">
      <c r="A678" s="376"/>
      <c r="B678" s="439"/>
      <c r="C678" s="439"/>
      <c r="D678" s="439"/>
      <c r="E678" s="376"/>
      <c r="F678" s="376"/>
      <c r="G678" s="376"/>
      <c r="AJ678" s="376"/>
      <c r="AK678" s="376"/>
      <c r="AL678" s="376"/>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 ref="AF351" r:id="rId54"/>
  </hyperlinks>
  <pageMargins left="0.7" right="0.7" top="0.75" bottom="0.75" header="0.3" footer="0.3"/>
  <pageSetup paperSize="9" orientation="portrait" horizontalDpi="1200" verticalDpi="1200" r:id="rId55"/>
  <tableParts count="1">
    <tablePart r:id="rId5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zoomScale="84" zoomScaleNormal="84" workbookViewId="0">
      <pane xSplit="2" ySplit="1" topLeftCell="C32" activePane="bottomRight" state="frozen"/>
      <selection pane="topRight" activeCell="C1" sqref="C1"/>
      <selection pane="bottomLeft" activeCell="A2" sqref="A2"/>
      <selection pane="bottomRight" activeCell="B37" sqref="B37"/>
    </sheetView>
  </sheetViews>
  <sheetFormatPr defaultRowHeight="15" x14ac:dyDescent="0.25"/>
  <cols>
    <col min="1" max="1" width="15.140625" bestFit="1" customWidth="1"/>
    <col min="2" max="2" width="90.28515625" customWidth="1"/>
    <col min="3" max="3" width="14" bestFit="1" customWidth="1"/>
    <col min="4" max="4" width="11.140625" bestFit="1" customWidth="1"/>
    <col min="5" max="5" width="12" bestFit="1" customWidth="1"/>
  </cols>
  <sheetData>
    <row r="1" spans="1:5" ht="157.15" customHeight="1" x14ac:dyDescent="0.25">
      <c r="A1" s="2" t="s">
        <v>8</v>
      </c>
      <c r="B1" s="2" t="s">
        <v>3</v>
      </c>
      <c r="C1" s="2" t="s">
        <v>0</v>
      </c>
      <c r="D1" s="2" t="s">
        <v>1</v>
      </c>
      <c r="E1" s="2" t="s">
        <v>2</v>
      </c>
    </row>
    <row r="2" spans="1:5" x14ac:dyDescent="0.25">
      <c r="B2" t="s">
        <v>7</v>
      </c>
      <c r="C2" s="364">
        <v>0.51500000000000001</v>
      </c>
      <c r="D2" s="364">
        <v>0.43774999999999997</v>
      </c>
      <c r="E2" s="364">
        <v>0.59225000000000005</v>
      </c>
    </row>
    <row r="3" spans="1:5" x14ac:dyDescent="0.25">
      <c r="B3" t="s">
        <v>6</v>
      </c>
      <c r="C3" s="364">
        <v>12</v>
      </c>
      <c r="D3" s="364">
        <v>10.199999999999999</v>
      </c>
      <c r="E3" s="364">
        <v>13.8</v>
      </c>
    </row>
    <row r="4" spans="1:5" x14ac:dyDescent="0.25">
      <c r="B4" t="s">
        <v>5</v>
      </c>
      <c r="C4" s="364">
        <v>28</v>
      </c>
      <c r="D4" s="364">
        <v>23.8</v>
      </c>
      <c r="E4" s="364">
        <v>32.200000000000003</v>
      </c>
    </row>
    <row r="5" spans="1:5" x14ac:dyDescent="0.25">
      <c r="B5" t="s">
        <v>33</v>
      </c>
      <c r="C5" s="364">
        <v>0</v>
      </c>
      <c r="D5" s="364">
        <v>-4.2500000000000003E-3</v>
      </c>
      <c r="E5" s="364">
        <v>1.75E-3</v>
      </c>
    </row>
    <row r="6" spans="1:5" x14ac:dyDescent="0.25">
      <c r="B6" t="s">
        <v>34</v>
      </c>
      <c r="C6" s="364">
        <v>0</v>
      </c>
      <c r="D6" s="364">
        <v>-4.2500000000000003E-3</v>
      </c>
      <c r="E6" s="364">
        <v>1.75E-3</v>
      </c>
    </row>
    <row r="7" spans="1:5" x14ac:dyDescent="0.25">
      <c r="B7" t="s">
        <v>35</v>
      </c>
      <c r="C7" s="364">
        <v>0.01</v>
      </c>
      <c r="D7" s="364">
        <v>-2.5000000000000001E-3</v>
      </c>
      <c r="E7" s="364">
        <v>5.0000000000000001E-3</v>
      </c>
    </row>
    <row r="8" spans="1:5" x14ac:dyDescent="0.25">
      <c r="B8" t="s">
        <v>36</v>
      </c>
      <c r="C8" s="364">
        <v>5.0000000000000001E-3</v>
      </c>
      <c r="D8" s="364">
        <v>-2.5000000000000001E-3</v>
      </c>
      <c r="E8" s="364">
        <v>2.5000000000000001E-3</v>
      </c>
    </row>
    <row r="9" spans="1:5" x14ac:dyDescent="0.25">
      <c r="B9" t="s">
        <v>37</v>
      </c>
      <c r="C9" s="364">
        <v>0</v>
      </c>
      <c r="D9" s="364">
        <v>-5.0000000000000001E-4</v>
      </c>
      <c r="E9" s="364">
        <v>3.5000000000000001E-3</v>
      </c>
    </row>
    <row r="10" spans="1:5" x14ac:dyDescent="0.25">
      <c r="B10" t="s">
        <v>38</v>
      </c>
      <c r="C10" s="364">
        <v>0</v>
      </c>
      <c r="D10" s="364">
        <v>-5.0000000000000001E-4</v>
      </c>
      <c r="E10" s="364">
        <v>2.5000000000000001E-3</v>
      </c>
    </row>
    <row r="11" spans="1:5" x14ac:dyDescent="0.25">
      <c r="B11" t="s">
        <v>1534</v>
      </c>
      <c r="C11" s="364">
        <v>0.6</v>
      </c>
      <c r="D11" s="364">
        <v>0.51</v>
      </c>
      <c r="E11" s="364">
        <v>0.69</v>
      </c>
    </row>
    <row r="12" spans="1:5" x14ac:dyDescent="0.25">
      <c r="B12" t="s">
        <v>1533</v>
      </c>
      <c r="C12" s="364">
        <v>0.77</v>
      </c>
      <c r="D12" s="364">
        <v>0.65449999999999997</v>
      </c>
      <c r="E12" s="364">
        <v>0.88549999999999995</v>
      </c>
    </row>
    <row r="13" spans="1:5" x14ac:dyDescent="0.25">
      <c r="B13" t="s">
        <v>39</v>
      </c>
      <c r="C13" s="364">
        <v>0.42499999999999999</v>
      </c>
      <c r="D13" s="364">
        <v>0.36125000000000002</v>
      </c>
      <c r="E13" s="364">
        <v>0.48875000000000002</v>
      </c>
    </row>
    <row r="14" spans="1:5" x14ac:dyDescent="0.25">
      <c r="B14" t="s">
        <v>40</v>
      </c>
      <c r="C14" s="364">
        <v>0.75</v>
      </c>
      <c r="D14" s="364">
        <v>0.63749999999999996</v>
      </c>
      <c r="E14" s="364">
        <v>0.86250000000000004</v>
      </c>
    </row>
    <row r="15" spans="1:5" x14ac:dyDescent="0.25">
      <c r="B15" t="s">
        <v>44</v>
      </c>
      <c r="C15" s="560">
        <v>1.9999999999999999E-6</v>
      </c>
      <c r="D15" s="560">
        <v>1.7E-6</v>
      </c>
      <c r="E15" s="560">
        <v>2.3E-6</v>
      </c>
    </row>
    <row r="16" spans="1:5" x14ac:dyDescent="0.25">
      <c r="B16" t="s">
        <v>45</v>
      </c>
      <c r="C16" s="364">
        <v>0.6</v>
      </c>
      <c r="D16" s="364">
        <v>0.51</v>
      </c>
      <c r="E16" s="364">
        <v>0.69</v>
      </c>
    </row>
    <row r="17" spans="2:5" x14ac:dyDescent="0.25">
      <c r="B17" t="s">
        <v>46</v>
      </c>
      <c r="C17" s="364">
        <v>0.54</v>
      </c>
      <c r="D17" s="364">
        <v>0.45900000000000002</v>
      </c>
      <c r="E17" s="364">
        <v>0.621</v>
      </c>
    </row>
    <row r="18" spans="2:5" x14ac:dyDescent="0.25">
      <c r="B18" t="s">
        <v>47</v>
      </c>
      <c r="C18" s="364">
        <v>0.89</v>
      </c>
      <c r="D18" s="364">
        <v>0.75649999999999995</v>
      </c>
      <c r="E18" s="364">
        <v>1.0235000000000001</v>
      </c>
    </row>
    <row r="19" spans="2:5" x14ac:dyDescent="0.25">
      <c r="B19" t="s">
        <v>48</v>
      </c>
      <c r="C19" s="364">
        <v>1</v>
      </c>
      <c r="D19" s="364">
        <v>0.85</v>
      </c>
      <c r="E19" s="364">
        <v>1.1499999999999999</v>
      </c>
    </row>
    <row r="20" spans="2:5" x14ac:dyDescent="0.25">
      <c r="B20" t="s">
        <v>49</v>
      </c>
      <c r="C20" s="364">
        <v>0.8</v>
      </c>
      <c r="D20" s="364">
        <v>0.68</v>
      </c>
      <c r="E20" s="364">
        <v>0.92</v>
      </c>
    </row>
    <row r="21" spans="2:5" x14ac:dyDescent="0.25">
      <c r="B21" t="s">
        <v>1492</v>
      </c>
      <c r="C21" s="364">
        <v>4.5</v>
      </c>
      <c r="D21" s="364">
        <v>3.8250000000000002</v>
      </c>
      <c r="E21" s="364">
        <v>5.1749999999999998</v>
      </c>
    </row>
    <row r="22" spans="2:5" x14ac:dyDescent="0.25">
      <c r="B22" t="s">
        <v>1493</v>
      </c>
      <c r="C22" s="364">
        <v>3</v>
      </c>
      <c r="D22" s="364">
        <v>2.5499999999999998</v>
      </c>
      <c r="E22" s="364">
        <v>3.45</v>
      </c>
    </row>
    <row r="23" spans="2:5" x14ac:dyDescent="0.25">
      <c r="B23" t="s">
        <v>1494</v>
      </c>
      <c r="C23" s="364">
        <v>1.5</v>
      </c>
      <c r="D23" s="364">
        <v>1.2749999999999999</v>
      </c>
      <c r="E23" s="364">
        <v>1.7250000000000001</v>
      </c>
    </row>
    <row r="24" spans="2:5" x14ac:dyDescent="0.25">
      <c r="B24" t="s">
        <v>50</v>
      </c>
      <c r="C24" s="364">
        <v>1</v>
      </c>
      <c r="D24" s="364">
        <v>0.85</v>
      </c>
      <c r="E24" s="364">
        <v>1.1499999999999999</v>
      </c>
    </row>
    <row r="25" spans="2:5" x14ac:dyDescent="0.25">
      <c r="B25" t="s">
        <v>1061</v>
      </c>
      <c r="C25" s="364">
        <v>0</v>
      </c>
      <c r="D25" s="364">
        <v>0</v>
      </c>
      <c r="E25" s="364">
        <v>1.99</v>
      </c>
    </row>
    <row r="26" spans="2:5" x14ac:dyDescent="0.25">
      <c r="B26" t="s">
        <v>55</v>
      </c>
      <c r="C26" s="364">
        <v>10</v>
      </c>
      <c r="D26" s="364">
        <v>8.5</v>
      </c>
      <c r="E26" s="364">
        <v>11.5</v>
      </c>
    </row>
    <row r="27" spans="2:5" x14ac:dyDescent="0.25">
      <c r="B27" t="s">
        <v>56</v>
      </c>
      <c r="C27" s="364">
        <v>2</v>
      </c>
      <c r="D27" s="364">
        <v>1.7</v>
      </c>
      <c r="E27" s="364">
        <v>2.2999999999999998</v>
      </c>
    </row>
    <row r="28" spans="2:5" x14ac:dyDescent="0.25">
      <c r="B28" t="s">
        <v>61</v>
      </c>
      <c r="C28" s="560">
        <v>30000000</v>
      </c>
      <c r="D28" s="560">
        <v>25500000</v>
      </c>
      <c r="E28" s="560">
        <v>34500000</v>
      </c>
    </row>
    <row r="29" spans="2:5" x14ac:dyDescent="0.25">
      <c r="B29" t="s">
        <v>63</v>
      </c>
      <c r="C29" s="364">
        <v>0.2</v>
      </c>
      <c r="D29" s="364">
        <v>0.17</v>
      </c>
      <c r="E29" s="364">
        <v>0.23</v>
      </c>
    </row>
    <row r="30" spans="2:5" x14ac:dyDescent="0.25">
      <c r="B30" t="s">
        <v>69</v>
      </c>
      <c r="C30" s="364">
        <v>50</v>
      </c>
      <c r="D30" s="364">
        <v>42.5</v>
      </c>
      <c r="E30" s="364">
        <v>57.5</v>
      </c>
    </row>
    <row r="31" spans="2:5" x14ac:dyDescent="0.25">
      <c r="B31" t="s">
        <v>70</v>
      </c>
      <c r="C31" s="364">
        <v>1</v>
      </c>
      <c r="D31" s="364">
        <v>0.85</v>
      </c>
      <c r="E31" s="364">
        <v>1.1499999999999999</v>
      </c>
    </row>
    <row r="32" spans="2:5" x14ac:dyDescent="0.25">
      <c r="B32" t="s">
        <v>71</v>
      </c>
      <c r="C32" s="364">
        <v>0.04</v>
      </c>
      <c r="D32" s="364">
        <v>3.4000000000000002E-2</v>
      </c>
      <c r="E32" s="364">
        <v>4.5999999999999999E-2</v>
      </c>
    </row>
    <row r="33" spans="2:5" x14ac:dyDescent="0.25">
      <c r="B33" t="s">
        <v>73</v>
      </c>
      <c r="C33" s="560">
        <v>2.8E-11</v>
      </c>
      <c r="D33" s="560">
        <v>2.3800000000000001E-11</v>
      </c>
      <c r="E33" s="560">
        <v>3.2200000000000003E-11</v>
      </c>
    </row>
    <row r="34" spans="2:5" x14ac:dyDescent="0.25">
      <c r="B34" t="s">
        <v>1495</v>
      </c>
      <c r="C34" s="560">
        <v>5000000000</v>
      </c>
      <c r="D34" s="560">
        <v>4250000000</v>
      </c>
      <c r="E34" s="560">
        <v>5750000000</v>
      </c>
    </row>
    <row r="35" spans="2:5" x14ac:dyDescent="0.25">
      <c r="B35" t="s">
        <v>74</v>
      </c>
      <c r="C35" s="364">
        <v>1.25</v>
      </c>
      <c r="D35" s="364">
        <v>1.0625</v>
      </c>
      <c r="E35" s="364">
        <v>1.4375</v>
      </c>
    </row>
    <row r="36" spans="2:5" x14ac:dyDescent="0.25">
      <c r="B36" t="s">
        <v>75</v>
      </c>
      <c r="C36" s="364">
        <v>0.04</v>
      </c>
      <c r="D36" s="364">
        <v>3.4000000000000002E-2</v>
      </c>
      <c r="E36" s="364">
        <v>4.5999999999999999E-2</v>
      </c>
    </row>
    <row r="37" spans="2:5" x14ac:dyDescent="0.25">
      <c r="B37" t="s">
        <v>77</v>
      </c>
      <c r="C37" s="560">
        <v>3E-11</v>
      </c>
      <c r="D37" s="560">
        <v>2.5499999999999999E-11</v>
      </c>
      <c r="E37" s="560">
        <v>3.4499999999999997E-11</v>
      </c>
    </row>
    <row r="38" spans="2:5" x14ac:dyDescent="0.25">
      <c r="B38" t="s">
        <v>1496</v>
      </c>
      <c r="C38" s="364">
        <v>3400</v>
      </c>
      <c r="D38" s="364">
        <v>2890</v>
      </c>
      <c r="E38" s="364">
        <v>3910</v>
      </c>
    </row>
    <row r="39" spans="2:5" x14ac:dyDescent="0.25">
      <c r="B39" t="s">
        <v>78</v>
      </c>
      <c r="C39" s="364">
        <v>9.8000000000000004E-2</v>
      </c>
      <c r="D39" s="364">
        <v>8.3299999999999999E-2</v>
      </c>
      <c r="E39" s="364">
        <v>0.11269999999999999</v>
      </c>
    </row>
    <row r="40" spans="2:5" x14ac:dyDescent="0.25">
      <c r="B40" t="s">
        <v>79</v>
      </c>
      <c r="C40" s="364">
        <v>0.04</v>
      </c>
      <c r="D40" s="364">
        <v>3.4000000000000002E-2</v>
      </c>
      <c r="E40" s="364">
        <v>4.5999999999999999E-2</v>
      </c>
    </row>
    <row r="41" spans="2:5" x14ac:dyDescent="0.25">
      <c r="B41" t="s">
        <v>81</v>
      </c>
      <c r="C41" s="560">
        <v>1.2999999999999999E-12</v>
      </c>
      <c r="D41" s="560">
        <v>1.105E-12</v>
      </c>
      <c r="E41" s="560">
        <v>1.495E-12</v>
      </c>
    </row>
    <row r="42" spans="2:5" x14ac:dyDescent="0.25">
      <c r="B42" t="s">
        <v>171</v>
      </c>
      <c r="C42" s="364">
        <v>900000</v>
      </c>
      <c r="D42" s="364">
        <v>765000</v>
      </c>
      <c r="E42" s="560">
        <v>1035000</v>
      </c>
    </row>
    <row r="43" spans="2:5" x14ac:dyDescent="0.25">
      <c r="B43" t="s">
        <v>82</v>
      </c>
      <c r="C43" s="364">
        <v>5</v>
      </c>
      <c r="D43" s="364">
        <v>4.25</v>
      </c>
      <c r="E43" s="364">
        <v>5.75</v>
      </c>
    </row>
    <row r="44" spans="2:5" x14ac:dyDescent="0.25">
      <c r="B44" t="s">
        <v>84</v>
      </c>
      <c r="C44" s="364">
        <v>10</v>
      </c>
      <c r="D44" s="364">
        <v>8.5</v>
      </c>
      <c r="E44" s="364">
        <v>11.5</v>
      </c>
    </row>
    <row r="45" spans="2:5" x14ac:dyDescent="0.25">
      <c r="B45" t="s">
        <v>88</v>
      </c>
      <c r="C45" s="364">
        <v>0.95</v>
      </c>
      <c r="D45" s="364">
        <v>0.8075</v>
      </c>
      <c r="E45" s="364">
        <v>1</v>
      </c>
    </row>
    <row r="46" spans="2:5" x14ac:dyDescent="0.25">
      <c r="B46" t="s">
        <v>89</v>
      </c>
      <c r="C46" s="364">
        <v>5</v>
      </c>
      <c r="D46" s="364">
        <v>4.25</v>
      </c>
      <c r="E46" s="364">
        <v>5.75</v>
      </c>
    </row>
    <row r="47" spans="2:5" x14ac:dyDescent="0.25">
      <c r="B47" t="s">
        <v>97</v>
      </c>
      <c r="C47" s="364">
        <v>1.25</v>
      </c>
      <c r="D47" s="364">
        <v>1.0625</v>
      </c>
      <c r="E47" s="364">
        <v>1.4375</v>
      </c>
    </row>
    <row r="48" spans="2:5" x14ac:dyDescent="0.25">
      <c r="B48" t="s">
        <v>98</v>
      </c>
      <c r="C48" s="364">
        <v>5</v>
      </c>
      <c r="D48" s="364">
        <v>4.25</v>
      </c>
      <c r="E48" s="364">
        <v>5.75</v>
      </c>
    </row>
    <row r="49" spans="2:5" x14ac:dyDescent="0.25">
      <c r="B49" t="s">
        <v>107</v>
      </c>
      <c r="C49" s="364">
        <v>0.3</v>
      </c>
      <c r="D49" s="364">
        <v>0.255</v>
      </c>
      <c r="E49" s="364">
        <v>0.34499999999999997</v>
      </c>
    </row>
    <row r="50" spans="2:5" x14ac:dyDescent="0.25">
      <c r="B50" t="s">
        <v>109</v>
      </c>
      <c r="C50" s="364">
        <v>7.0000000000000007E-2</v>
      </c>
      <c r="D50" s="364">
        <v>5.9499999999999997E-2</v>
      </c>
      <c r="E50" s="364">
        <v>8.0500000000000002E-2</v>
      </c>
    </row>
    <row r="51" spans="2:5" x14ac:dyDescent="0.25">
      <c r="B51" t="s">
        <v>110</v>
      </c>
      <c r="C51" s="364">
        <v>1</v>
      </c>
      <c r="D51" s="364">
        <v>0.85</v>
      </c>
      <c r="E51" s="364">
        <v>1.1499999999999999</v>
      </c>
    </row>
    <row r="52" spans="2:5" x14ac:dyDescent="0.25">
      <c r="B52" t="s">
        <v>114</v>
      </c>
      <c r="C52" s="364">
        <v>1</v>
      </c>
      <c r="D52" s="364">
        <v>0.85</v>
      </c>
      <c r="E52" s="364">
        <v>1.1499999999999999</v>
      </c>
    </row>
    <row r="53" spans="2:5" x14ac:dyDescent="0.25">
      <c r="B53" t="s">
        <v>115</v>
      </c>
      <c r="C53" s="364">
        <v>1</v>
      </c>
      <c r="D53" s="364">
        <v>0.85</v>
      </c>
      <c r="E53" s="364">
        <v>1.1499999999999999</v>
      </c>
    </row>
    <row r="54" spans="2:5" x14ac:dyDescent="0.25">
      <c r="B54" t="s">
        <v>116</v>
      </c>
      <c r="C54" s="364">
        <v>1</v>
      </c>
      <c r="D54" s="364">
        <v>0.85</v>
      </c>
      <c r="E54" s="364">
        <v>1.1499999999999999</v>
      </c>
    </row>
    <row r="55" spans="2:5" x14ac:dyDescent="0.25">
      <c r="B55" t="s">
        <v>117</v>
      </c>
      <c r="C55" s="364">
        <v>0.01</v>
      </c>
      <c r="D55" s="364">
        <v>8.5000000000000006E-3</v>
      </c>
      <c r="E55" s="364">
        <v>1.15E-2</v>
      </c>
    </row>
    <row r="56" spans="2:5" x14ac:dyDescent="0.25">
      <c r="B56" t="s">
        <v>118</v>
      </c>
      <c r="C56" s="364">
        <v>3.0000000000000001E-3</v>
      </c>
      <c r="D56" s="364">
        <v>2.5500000000000002E-3</v>
      </c>
      <c r="E56" s="364">
        <v>3.4499999999999999E-3</v>
      </c>
    </row>
    <row r="57" spans="2:5" x14ac:dyDescent="0.25">
      <c r="B57" t="s">
        <v>119</v>
      </c>
      <c r="C57" s="364">
        <v>0.04</v>
      </c>
      <c r="D57" s="364">
        <v>3.4000000000000002E-2</v>
      </c>
      <c r="E57" s="364">
        <v>4.5999999999999999E-2</v>
      </c>
    </row>
    <row r="58" spans="2:5" x14ac:dyDescent="0.25">
      <c r="B58" t="s">
        <v>120</v>
      </c>
      <c r="C58" s="364">
        <v>1672.6</v>
      </c>
      <c r="D58" s="364">
        <v>1421.71</v>
      </c>
      <c r="E58" s="364">
        <v>1923.49</v>
      </c>
    </row>
    <row r="59" spans="2:5" x14ac:dyDescent="0.25">
      <c r="B59" t="s">
        <v>126</v>
      </c>
      <c r="C59" s="364">
        <v>1.2</v>
      </c>
      <c r="D59" s="364">
        <v>1.02</v>
      </c>
      <c r="E59" s="364">
        <v>1.38</v>
      </c>
    </row>
    <row r="60" spans="2:5" x14ac:dyDescent="0.25">
      <c r="B60" t="s">
        <v>134</v>
      </c>
      <c r="C60" s="364">
        <v>0</v>
      </c>
      <c r="D60" s="364">
        <v>0</v>
      </c>
      <c r="E60" s="364">
        <v>4.99</v>
      </c>
    </row>
    <row r="61" spans="2:5" x14ac:dyDescent="0.25">
      <c r="B61" t="s">
        <v>127</v>
      </c>
      <c r="C61" s="560">
        <v>7500000000</v>
      </c>
      <c r="D61" s="560">
        <v>6375000000</v>
      </c>
      <c r="E61" s="560">
        <v>8625000000</v>
      </c>
    </row>
  </sheetData>
  <pageMargins left="0.7" right="0.7" top="0.75" bottom="0.75" header="0.3" footer="0.3"/>
  <pageSetup paperSize="9" orientation="portrait" horizontalDpi="1200" verticalDpi="1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78"/>
  <sheetViews>
    <sheetView zoomScale="80" zoomScaleNormal="80" workbookViewId="0">
      <selection activeCell="F512" sqref="F512"/>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customWidth="1"/>
    <col min="6" max="6" width="10.7109375" style="378" customWidth="1"/>
    <col min="7" max="7" width="12.42578125" style="378" customWidth="1"/>
    <col min="8" max="8" width="18.140625" style="376" customWidth="1"/>
    <col min="9" max="9" width="14.7109375" style="376" customWidth="1"/>
    <col min="10" max="10" width="13.28515625" style="376" customWidth="1"/>
    <col min="11" max="11" width="11.42578125" style="376" customWidth="1"/>
    <col min="12" max="12" width="12.5703125" style="376" hidden="1" customWidth="1"/>
    <col min="13" max="13" width="16.7109375" style="376" bestFit="1" customWidth="1"/>
    <col min="14" max="14" width="20.7109375" style="376" customWidth="1"/>
    <col min="15" max="16" width="17.85546875" style="376" customWidth="1"/>
    <col min="17" max="17" width="0" style="355" hidden="1" customWidth="1"/>
    <col min="18" max="18" width="15" style="355" customWidth="1"/>
    <col min="19" max="19" width="18.7109375" style="355" customWidth="1"/>
    <col min="20" max="20" width="17.85546875" style="355" customWidth="1"/>
    <col min="21" max="21" width="25.85546875" style="355" customWidth="1"/>
    <col min="22" max="22" width="17.7109375" style="355" customWidth="1"/>
    <col min="23" max="25" width="17.85546875" style="355" customWidth="1"/>
    <col min="26" max="26" width="19.7109375" style="355" customWidth="1"/>
    <col min="27" max="27" width="17" style="355" customWidth="1"/>
    <col min="28" max="28" width="17.85546875" style="355" customWidth="1"/>
    <col min="29" max="30" width="9" style="355"/>
    <col min="31" max="31" width="34.85546875" style="376" customWidth="1"/>
    <col min="32" max="32" width="9" style="355"/>
    <col min="33" max="33" width="14" style="376" customWidth="1"/>
    <col min="34" max="34" width="31.7109375" style="376" customWidth="1"/>
    <col min="35" max="35" width="56.140625" style="376" customWidth="1"/>
    <col min="36" max="36" width="19.5703125" style="360" customWidth="1"/>
    <col min="37" max="37" width="40.140625" style="360" customWidth="1"/>
    <col min="38" max="16384" width="9" style="360"/>
  </cols>
  <sheetData>
    <row r="1" spans="1:35" ht="45"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1146</v>
      </c>
      <c r="N1" s="423" t="s">
        <v>1155</v>
      </c>
      <c r="O1" s="423" t="s">
        <v>1147</v>
      </c>
      <c r="P1" s="423" t="s">
        <v>1145</v>
      </c>
      <c r="Q1" s="423" t="s">
        <v>1057</v>
      </c>
      <c r="R1" s="423" t="s">
        <v>1148</v>
      </c>
      <c r="S1" s="423" t="s">
        <v>1156</v>
      </c>
      <c r="T1" s="423" t="s">
        <v>1149</v>
      </c>
      <c r="U1" s="423" t="s">
        <v>1150</v>
      </c>
      <c r="V1" s="423" t="s">
        <v>1151</v>
      </c>
      <c r="W1" s="423" t="s">
        <v>1157</v>
      </c>
      <c r="X1" s="423" t="s">
        <v>1152</v>
      </c>
      <c r="Y1" s="423" t="s">
        <v>1154</v>
      </c>
      <c r="Z1" s="423" t="s">
        <v>1159</v>
      </c>
      <c r="AA1" s="423" t="s">
        <v>1158</v>
      </c>
      <c r="AB1" s="423" t="s">
        <v>907</v>
      </c>
      <c r="AC1" s="423" t="s">
        <v>664</v>
      </c>
      <c r="AD1" s="374" t="s">
        <v>907</v>
      </c>
      <c r="AE1" s="360"/>
      <c r="AF1" s="360"/>
      <c r="AG1" s="360"/>
      <c r="AH1" s="360"/>
      <c r="AI1" s="360"/>
    </row>
    <row r="2" spans="1:35" s="386" customFormat="1" hidden="1" x14ac:dyDescent="0.25">
      <c r="A2" s="409"/>
      <c r="B2" s="406"/>
      <c r="C2" s="406"/>
      <c r="D2" s="406"/>
      <c r="E2" s="407">
        <v>2015</v>
      </c>
      <c r="F2" s="407">
        <v>2016</v>
      </c>
      <c r="G2" s="407">
        <v>2017</v>
      </c>
      <c r="H2" s="407"/>
      <c r="I2" s="407"/>
      <c r="J2" s="407"/>
      <c r="K2" s="407"/>
      <c r="L2" s="407">
        <f>Table147[[#This Row],[Ambitious target 2030]]+Table147[[#This Row],[Ambitious target 2030]]*0.5</f>
        <v>0</v>
      </c>
      <c r="M2" s="407"/>
      <c r="N2" s="407"/>
      <c r="O2" s="407"/>
      <c r="P2" s="407"/>
      <c r="Q2" s="407">
        <f>Table147[[#This Row],[Red target]]-Table147[[#This Row],[Red target]]*0.5</f>
        <v>0</v>
      </c>
      <c r="R2" s="407"/>
      <c r="S2" s="407"/>
      <c r="T2" s="407"/>
      <c r="U2" s="407"/>
      <c r="V2" s="407"/>
      <c r="W2" s="407"/>
      <c r="X2" s="407"/>
      <c r="Y2" s="407"/>
      <c r="Z2" s="407"/>
      <c r="AA2" s="407"/>
      <c r="AB2" s="407"/>
      <c r="AC2" s="413"/>
    </row>
    <row r="3" spans="1:35" x14ac:dyDescent="0.25">
      <c r="A3" s="422" t="s">
        <v>856</v>
      </c>
      <c r="B3" s="436" t="s">
        <v>999</v>
      </c>
      <c r="C3" s="436" t="s">
        <v>473</v>
      </c>
      <c r="D3" s="436" t="s">
        <v>904</v>
      </c>
      <c r="E3" s="420">
        <v>121</v>
      </c>
      <c r="F3" s="420">
        <v>122</v>
      </c>
      <c r="G3" s="420">
        <v>122</v>
      </c>
      <c r="H3" s="421">
        <v>2015</v>
      </c>
      <c r="I3" s="421">
        <v>121</v>
      </c>
      <c r="J3" s="411">
        <f>2015</f>
        <v>2015</v>
      </c>
      <c r="K3" s="364">
        <v>137.345</v>
      </c>
      <c r="L3" s="411">
        <f>Table147[[#This Row],[Ambitious target 2030]]+Table147[[#This Row],[Ambitious target 2030]]*0.5</f>
        <v>230.39999999999998</v>
      </c>
      <c r="M3" s="421">
        <f>AVERAGE(G4:G8)</f>
        <v>153.6</v>
      </c>
      <c r="N3" s="421"/>
      <c r="O3" s="421">
        <f>(M3-K3)*0.5+K3</f>
        <v>145.4725</v>
      </c>
      <c r="P3" s="421"/>
      <c r="Q3" s="421">
        <f>Table147[[#This Row],[Red target]]-Table147[[#This Row],[Red target]]*0.5</f>
        <v>68.672499999999999</v>
      </c>
      <c r="R3" s="421"/>
      <c r="S3" s="421"/>
      <c r="T3" s="421"/>
      <c r="U3" s="421"/>
      <c r="V3" s="421"/>
      <c r="W3" s="421"/>
      <c r="X3" s="421"/>
      <c r="Y3" s="421"/>
      <c r="Z3" s="421">
        <f>K3</f>
        <v>137.345</v>
      </c>
      <c r="AA3" s="421" t="s">
        <v>978</v>
      </c>
      <c r="AB3" s="421"/>
      <c r="AC3" s="419" t="s">
        <v>864</v>
      </c>
      <c r="AD3" s="362"/>
      <c r="AE3" s="362"/>
      <c r="AF3" s="360"/>
      <c r="AG3" s="360"/>
      <c r="AH3" s="360"/>
      <c r="AI3" s="360"/>
    </row>
    <row r="4" spans="1:35" hidden="1" x14ac:dyDescent="0.25">
      <c r="A4" s="389"/>
      <c r="B4" s="372"/>
      <c r="C4" s="372"/>
      <c r="D4" s="378" t="s">
        <v>808</v>
      </c>
      <c r="E4" s="379">
        <v>159</v>
      </c>
      <c r="F4" s="380">
        <v>160</v>
      </c>
      <c r="G4" s="381">
        <v>160</v>
      </c>
      <c r="H4" s="421"/>
      <c r="I4" s="375"/>
      <c r="J4" s="375"/>
      <c r="K4" s="375"/>
      <c r="L4" s="375">
        <f>Table147[[#This Row],[Ambitious target 2030]]+Table147[[#This Row],[Ambitious target 2030]]*0.5</f>
        <v>0</v>
      </c>
      <c r="M4" s="375"/>
      <c r="N4" s="375"/>
      <c r="O4" s="375"/>
      <c r="P4" s="375"/>
      <c r="Q4" s="375">
        <f>Table147[[#This Row],[Red target]]-Table147[[#This Row],[Red target]]*0.5</f>
        <v>0</v>
      </c>
      <c r="R4" s="375"/>
      <c r="S4" s="375"/>
      <c r="T4" s="375"/>
      <c r="U4" s="375"/>
      <c r="V4" s="375"/>
      <c r="W4" s="375"/>
      <c r="X4" s="375"/>
      <c r="Y4" s="375"/>
      <c r="Z4" s="375"/>
      <c r="AA4" s="375"/>
      <c r="AB4" s="375"/>
      <c r="AC4" s="399"/>
      <c r="AD4" s="362"/>
      <c r="AE4" s="362"/>
      <c r="AF4" s="360"/>
      <c r="AG4" s="360"/>
      <c r="AH4" s="360"/>
      <c r="AI4" s="360"/>
    </row>
    <row r="5" spans="1:35" hidden="1" x14ac:dyDescent="0.25">
      <c r="A5" s="389"/>
      <c r="B5" s="372"/>
      <c r="C5" s="372"/>
      <c r="D5" s="378" t="s">
        <v>832</v>
      </c>
      <c r="E5" s="379">
        <v>158</v>
      </c>
      <c r="F5" s="380">
        <v>158</v>
      </c>
      <c r="G5" s="381">
        <v>157</v>
      </c>
      <c r="H5" s="421"/>
      <c r="I5" s="375"/>
      <c r="J5" s="375"/>
      <c r="K5" s="375"/>
      <c r="L5" s="375">
        <f>Table147[[#This Row],[Ambitious target 2030]]+Table147[[#This Row],[Ambitious target 2030]]*0.5</f>
        <v>0</v>
      </c>
      <c r="M5" s="375"/>
      <c r="N5" s="375"/>
      <c r="O5" s="375"/>
      <c r="P5" s="375"/>
      <c r="Q5" s="375">
        <f>Table147[[#This Row],[Red target]]-Table147[[#This Row],[Red target]]*0.5</f>
        <v>0</v>
      </c>
      <c r="R5" s="375"/>
      <c r="S5" s="375"/>
      <c r="T5" s="375"/>
      <c r="U5" s="375"/>
      <c r="V5" s="375"/>
      <c r="W5" s="375"/>
      <c r="X5" s="375"/>
      <c r="Y5" s="375"/>
      <c r="Z5" s="375"/>
      <c r="AA5" s="375"/>
      <c r="AB5" s="375"/>
      <c r="AC5" s="399"/>
      <c r="AD5" s="362"/>
      <c r="AE5" s="362"/>
      <c r="AF5" s="360"/>
      <c r="AG5" s="360"/>
      <c r="AH5" s="360"/>
      <c r="AI5" s="360"/>
    </row>
    <row r="6" spans="1:35" hidden="1" x14ac:dyDescent="0.25">
      <c r="A6" s="389"/>
      <c r="B6" s="372"/>
      <c r="C6" s="372"/>
      <c r="D6" s="378" t="s">
        <v>857</v>
      </c>
      <c r="E6" s="379">
        <v>152</v>
      </c>
      <c r="F6" s="380">
        <v>153</v>
      </c>
      <c r="G6" s="381">
        <v>153</v>
      </c>
      <c r="H6" s="421"/>
      <c r="I6" s="375"/>
      <c r="J6" s="375"/>
      <c r="K6" s="375"/>
      <c r="L6" s="375">
        <f>Table147[[#This Row],[Ambitious target 2030]]+Table147[[#This Row],[Ambitious target 2030]]*0.5</f>
        <v>0</v>
      </c>
      <c r="M6" s="375"/>
      <c r="N6" s="375"/>
      <c r="O6" s="375"/>
      <c r="P6" s="375"/>
      <c r="Q6" s="375">
        <f>Table147[[#This Row],[Red target]]-Table147[[#This Row],[Red target]]*0.5</f>
        <v>0</v>
      </c>
      <c r="R6" s="375"/>
      <c r="S6" s="375"/>
      <c r="T6" s="375"/>
      <c r="U6" s="375"/>
      <c r="V6" s="375"/>
      <c r="W6" s="375"/>
      <c r="X6" s="375"/>
      <c r="Y6" s="375"/>
      <c r="Z6" s="375"/>
      <c r="AA6" s="375"/>
      <c r="AB6" s="375"/>
      <c r="AC6" s="399"/>
      <c r="AD6" s="362"/>
      <c r="AE6" s="362"/>
      <c r="AF6" s="360"/>
      <c r="AG6" s="360"/>
      <c r="AH6" s="360"/>
      <c r="AI6" s="360"/>
    </row>
    <row r="7" spans="1:35" hidden="1" x14ac:dyDescent="0.25">
      <c r="A7" s="389"/>
      <c r="B7" s="372"/>
      <c r="C7" s="372"/>
      <c r="D7" s="378" t="s">
        <v>858</v>
      </c>
      <c r="E7" s="379">
        <v>148</v>
      </c>
      <c r="F7" s="380">
        <v>149</v>
      </c>
      <c r="G7" s="381">
        <v>150</v>
      </c>
      <c r="H7" s="421"/>
      <c r="I7" s="375"/>
      <c r="J7" s="375"/>
      <c r="K7" s="375"/>
      <c r="L7" s="375">
        <f>Table147[[#This Row],[Ambitious target 2030]]+Table147[[#This Row],[Ambitious target 2030]]*0.5</f>
        <v>0</v>
      </c>
      <c r="M7" s="375"/>
      <c r="N7" s="375"/>
      <c r="O7" s="375"/>
      <c r="P7" s="375"/>
      <c r="Q7" s="375">
        <f>Table147[[#This Row],[Red target]]-Table147[[#This Row],[Red target]]*0.5</f>
        <v>0</v>
      </c>
      <c r="R7" s="375"/>
      <c r="S7" s="375"/>
      <c r="T7" s="375"/>
      <c r="U7" s="375"/>
      <c r="V7" s="375"/>
      <c r="W7" s="375"/>
      <c r="X7" s="375"/>
      <c r="Y7" s="375"/>
      <c r="Z7" s="375"/>
      <c r="AA7" s="375"/>
      <c r="AB7" s="375"/>
      <c r="AC7" s="399"/>
      <c r="AD7" s="362"/>
      <c r="AE7" s="362"/>
      <c r="AF7" s="360"/>
      <c r="AG7" s="360"/>
      <c r="AH7" s="360"/>
      <c r="AI7" s="360"/>
    </row>
    <row r="8" spans="1:35" hidden="1" x14ac:dyDescent="0.25">
      <c r="A8" s="389"/>
      <c r="B8" s="372"/>
      <c r="C8" s="372"/>
      <c r="D8" s="378" t="s">
        <v>859</v>
      </c>
      <c r="E8" s="379">
        <v>148</v>
      </c>
      <c r="F8" s="380">
        <v>148</v>
      </c>
      <c r="G8" s="381">
        <v>148</v>
      </c>
      <c r="H8" s="421"/>
      <c r="I8" s="375"/>
      <c r="J8" s="375"/>
      <c r="K8" s="375"/>
      <c r="L8" s="375">
        <f>Table147[[#This Row],[Ambitious target 2030]]+Table147[[#This Row],[Ambitious target 2030]]*0.5</f>
        <v>0</v>
      </c>
      <c r="M8" s="375"/>
      <c r="N8" s="375"/>
      <c r="O8" s="375"/>
      <c r="P8" s="375"/>
      <c r="Q8" s="375">
        <f>Table147[[#This Row],[Red target]]-Table147[[#This Row],[Red target]]*0.5</f>
        <v>0</v>
      </c>
      <c r="R8" s="375"/>
      <c r="S8" s="375"/>
      <c r="T8" s="375"/>
      <c r="U8" s="375"/>
      <c r="V8" s="375"/>
      <c r="W8" s="375"/>
      <c r="X8" s="375"/>
      <c r="Y8" s="375"/>
      <c r="Z8" s="375"/>
      <c r="AA8" s="375"/>
      <c r="AB8" s="375"/>
      <c r="AC8" s="399"/>
      <c r="AD8" s="362"/>
      <c r="AE8" s="362"/>
      <c r="AF8" s="360"/>
      <c r="AG8" s="360"/>
      <c r="AH8" s="360"/>
      <c r="AI8" s="360"/>
    </row>
    <row r="9" spans="1:35" hidden="1" x14ac:dyDescent="0.25">
      <c r="A9" s="389"/>
      <c r="B9" s="372"/>
      <c r="C9" s="372"/>
      <c r="D9" s="378" t="s">
        <v>860</v>
      </c>
      <c r="E9" s="382">
        <v>81</v>
      </c>
      <c r="F9" s="383">
        <v>80</v>
      </c>
      <c r="G9" s="384">
        <v>81</v>
      </c>
      <c r="H9" s="421"/>
      <c r="I9" s="375"/>
      <c r="J9" s="375"/>
      <c r="K9" s="375"/>
      <c r="L9" s="375">
        <f>Table147[[#This Row],[Ambitious target 2030]]+Table147[[#This Row],[Ambitious target 2030]]*0.5</f>
        <v>0</v>
      </c>
      <c r="M9" s="375"/>
      <c r="N9" s="375"/>
      <c r="O9" s="375"/>
      <c r="P9" s="375"/>
      <c r="Q9" s="375">
        <f>Table147[[#This Row],[Red target]]-Table147[[#This Row],[Red target]]*0.5</f>
        <v>0</v>
      </c>
      <c r="R9" s="375"/>
      <c r="S9" s="375"/>
      <c r="T9" s="375"/>
      <c r="U9" s="375"/>
      <c r="V9" s="375"/>
      <c r="W9" s="375"/>
      <c r="X9" s="375"/>
      <c r="Y9" s="375"/>
      <c r="Z9" s="375"/>
      <c r="AA9" s="375"/>
      <c r="AB9" s="375"/>
      <c r="AC9" s="399"/>
      <c r="AD9" s="362"/>
      <c r="AE9" s="362"/>
      <c r="AF9" s="360"/>
      <c r="AG9" s="360"/>
      <c r="AH9" s="360"/>
      <c r="AI9" s="360"/>
    </row>
    <row r="10" spans="1:35" hidden="1" x14ac:dyDescent="0.25">
      <c r="A10" s="389"/>
      <c r="B10" s="372"/>
      <c r="C10" s="372"/>
      <c r="D10" s="378" t="s">
        <v>861</v>
      </c>
      <c r="E10" s="382">
        <v>86</v>
      </c>
      <c r="F10" s="383">
        <v>85</v>
      </c>
      <c r="G10" s="384">
        <v>84</v>
      </c>
      <c r="H10" s="421"/>
      <c r="I10" s="375"/>
      <c r="J10" s="375"/>
      <c r="K10" s="375"/>
      <c r="L10" s="375">
        <f>Table147[[#This Row],[Ambitious target 2030]]+Table147[[#This Row],[Ambitious target 2030]]*0.5</f>
        <v>0</v>
      </c>
      <c r="M10" s="375"/>
      <c r="N10" s="375"/>
      <c r="O10" s="375"/>
      <c r="P10" s="375"/>
      <c r="Q10" s="375">
        <f>Table147[[#This Row],[Red target]]-Table147[[#This Row],[Red target]]*0.5</f>
        <v>0</v>
      </c>
      <c r="R10" s="375"/>
      <c r="S10" s="375"/>
      <c r="T10" s="375"/>
      <c r="U10" s="375"/>
      <c r="V10" s="375"/>
      <c r="W10" s="375"/>
      <c r="X10" s="375"/>
      <c r="Y10" s="375"/>
      <c r="Z10" s="375"/>
      <c r="AA10" s="375"/>
      <c r="AB10" s="375"/>
      <c r="AC10" s="399"/>
      <c r="AD10" s="362"/>
      <c r="AE10" s="362"/>
      <c r="AF10" s="360"/>
      <c r="AG10" s="360"/>
      <c r="AH10" s="360"/>
      <c r="AI10" s="360"/>
    </row>
    <row r="11" spans="1:35" hidden="1" x14ac:dyDescent="0.25">
      <c r="A11" s="389"/>
      <c r="B11" s="372"/>
      <c r="C11" s="372"/>
      <c r="D11" s="378" t="s">
        <v>685</v>
      </c>
      <c r="E11" s="382">
        <v>86</v>
      </c>
      <c r="F11" s="383">
        <v>85</v>
      </c>
      <c r="G11" s="384">
        <v>85</v>
      </c>
      <c r="H11" s="421"/>
      <c r="I11" s="375"/>
      <c r="J11" s="375"/>
      <c r="K11" s="375"/>
      <c r="L11" s="375">
        <f>Table147[[#This Row],[Ambitious target 2030]]+Table147[[#This Row],[Ambitious target 2030]]*0.5</f>
        <v>0</v>
      </c>
      <c r="M11" s="375"/>
      <c r="N11" s="375"/>
      <c r="O11" s="375"/>
      <c r="P11" s="375"/>
      <c r="Q11" s="375">
        <f>Table147[[#This Row],[Red target]]-Table147[[#This Row],[Red target]]*0.5</f>
        <v>0</v>
      </c>
      <c r="R11" s="375"/>
      <c r="S11" s="375"/>
      <c r="T11" s="375"/>
      <c r="U11" s="375"/>
      <c r="V11" s="375"/>
      <c r="W11" s="375"/>
      <c r="X11" s="375"/>
      <c r="Y11" s="375"/>
      <c r="Z11" s="375"/>
      <c r="AA11" s="375"/>
      <c r="AB11" s="375"/>
      <c r="AC11" s="399"/>
      <c r="AD11" s="362"/>
      <c r="AE11" s="362"/>
      <c r="AF11" s="360"/>
      <c r="AG11" s="360"/>
      <c r="AH11" s="360"/>
      <c r="AI11" s="360"/>
    </row>
    <row r="12" spans="1:35" hidden="1" x14ac:dyDescent="0.25">
      <c r="A12" s="389"/>
      <c r="B12" s="372"/>
      <c r="C12" s="372"/>
      <c r="D12" s="378" t="s">
        <v>862</v>
      </c>
      <c r="E12" s="382">
        <v>96</v>
      </c>
      <c r="F12" s="383">
        <v>92</v>
      </c>
      <c r="G12" s="384">
        <v>87</v>
      </c>
      <c r="H12" s="421"/>
      <c r="I12" s="375"/>
      <c r="J12" s="375"/>
      <c r="K12" s="375"/>
      <c r="L12" s="375">
        <f>Table147[[#This Row],[Ambitious target 2030]]+Table147[[#This Row],[Ambitious target 2030]]*0.5</f>
        <v>0</v>
      </c>
      <c r="M12" s="375"/>
      <c r="N12" s="375"/>
      <c r="O12" s="375"/>
      <c r="P12" s="375"/>
      <c r="Q12" s="375">
        <f>Table147[[#This Row],[Red target]]-Table147[[#This Row],[Red target]]*0.5</f>
        <v>0</v>
      </c>
      <c r="R12" s="375"/>
      <c r="S12" s="375"/>
      <c r="T12" s="375"/>
      <c r="U12" s="375"/>
      <c r="V12" s="375"/>
      <c r="W12" s="375"/>
      <c r="X12" s="375"/>
      <c r="Y12" s="375"/>
      <c r="Z12" s="375"/>
      <c r="AA12" s="375"/>
      <c r="AB12" s="375"/>
      <c r="AC12" s="399"/>
      <c r="AD12" s="362"/>
      <c r="AE12" s="362"/>
      <c r="AF12" s="360"/>
      <c r="AG12" s="360"/>
      <c r="AH12" s="360"/>
      <c r="AI12" s="360"/>
    </row>
    <row r="13" spans="1:35" hidden="1" x14ac:dyDescent="0.25">
      <c r="A13" s="389"/>
      <c r="B13" s="372"/>
      <c r="C13" s="372"/>
      <c r="D13" s="378" t="s">
        <v>863</v>
      </c>
      <c r="E13" s="382">
        <v>91</v>
      </c>
      <c r="F13" s="383">
        <v>90</v>
      </c>
      <c r="G13" s="384">
        <v>89</v>
      </c>
      <c r="H13" s="421"/>
      <c r="I13" s="375"/>
      <c r="J13" s="375"/>
      <c r="K13" s="375"/>
      <c r="L13" s="375">
        <f>Table147[[#This Row],[Ambitious target 2030]]+Table147[[#This Row],[Ambitious target 2030]]*0.5</f>
        <v>0</v>
      </c>
      <c r="M13" s="375"/>
      <c r="N13" s="375"/>
      <c r="O13" s="375"/>
      <c r="P13" s="375"/>
      <c r="Q13" s="375">
        <f>Table147[[#This Row],[Red target]]-Table147[[#This Row],[Red target]]*0.5</f>
        <v>0</v>
      </c>
      <c r="R13" s="375"/>
      <c r="S13" s="375"/>
      <c r="T13" s="375"/>
      <c r="U13" s="375"/>
      <c r="V13" s="375"/>
      <c r="W13" s="375"/>
      <c r="X13" s="375"/>
      <c r="Y13" s="375"/>
      <c r="Z13" s="375"/>
      <c r="AA13" s="375"/>
      <c r="AB13" s="375"/>
      <c r="AC13" s="399"/>
      <c r="AD13" s="362"/>
      <c r="AE13" s="362"/>
      <c r="AF13" s="360"/>
      <c r="AG13" s="360"/>
      <c r="AH13" s="360"/>
      <c r="AI13" s="360"/>
    </row>
    <row r="14" spans="1:35" s="386" customFormat="1" hidden="1" x14ac:dyDescent="0.25">
      <c r="A14" s="409"/>
      <c r="B14" s="406"/>
      <c r="C14" s="406"/>
      <c r="D14" s="406"/>
      <c r="E14" s="407">
        <v>2015</v>
      </c>
      <c r="F14" s="407">
        <v>2016</v>
      </c>
      <c r="G14" s="407">
        <v>2017</v>
      </c>
      <c r="H14" s="407"/>
      <c r="I14" s="407"/>
      <c r="J14" s="407"/>
      <c r="K14" s="407"/>
      <c r="L14" s="407">
        <f>Table147[[#This Row],[Ambitious target 2030]]+Table147[[#This Row],[Ambitious target 2030]]*0.5</f>
        <v>0</v>
      </c>
      <c r="M14" s="407"/>
      <c r="N14" s="407"/>
      <c r="O14" s="407"/>
      <c r="P14" s="407"/>
      <c r="Q14" s="407">
        <f>Table147[[#This Row],[Red target]]-Table147[[#This Row],[Red target]]*0.5</f>
        <v>0</v>
      </c>
      <c r="R14" s="407"/>
      <c r="S14" s="407"/>
      <c r="T14" s="407"/>
      <c r="U14" s="407"/>
      <c r="V14" s="407"/>
      <c r="W14" s="407"/>
      <c r="X14" s="407"/>
      <c r="Y14" s="407"/>
      <c r="Z14" s="407"/>
      <c r="AA14" s="407"/>
      <c r="AB14" s="407"/>
      <c r="AC14" s="413"/>
    </row>
    <row r="15" spans="1:35"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Table147[[#This Row],[Ambitious target 2030]]+Table147[[#This Row],[Ambitious target 2030]]*0.5</f>
        <v>10092.263999999999</v>
      </c>
      <c r="M15" s="421">
        <f>AVERAGE(G16:G20)*0.7</f>
        <v>6728.1759999999995</v>
      </c>
      <c r="N15" s="421"/>
      <c r="O15" s="421">
        <f>(M15-K15)*0.5+K15</f>
        <v>5093.1530000000002</v>
      </c>
      <c r="P15" s="421"/>
      <c r="Q15" s="421">
        <f>Table147[[#This Row],[Red target]]-Table147[[#This Row],[Red target]]*0.5</f>
        <v>1729.0650000000001</v>
      </c>
      <c r="R15" s="421"/>
      <c r="S15" s="421"/>
      <c r="T15" s="421"/>
      <c r="U15" s="421"/>
      <c r="V15" s="421"/>
      <c r="W15" s="421"/>
      <c r="X15" s="421"/>
      <c r="Y15" s="421"/>
      <c r="Z15" s="421">
        <f>K15</f>
        <v>3458.13</v>
      </c>
      <c r="AA15" s="421" t="s">
        <v>978</v>
      </c>
      <c r="AB15" s="421" t="s">
        <v>1161</v>
      </c>
      <c r="AC15" s="419" t="s">
        <v>665</v>
      </c>
      <c r="AD15" s="360"/>
      <c r="AE15" s="360"/>
      <c r="AF15" s="360"/>
      <c r="AG15" s="360"/>
      <c r="AH15" s="360"/>
      <c r="AI15" s="360"/>
    </row>
    <row r="16" spans="1:35" hidden="1" x14ac:dyDescent="0.25">
      <c r="A16" s="390"/>
      <c r="B16" s="369"/>
      <c r="C16" s="369"/>
      <c r="D16" s="369" t="s">
        <v>678</v>
      </c>
      <c r="E16" s="379">
        <v>13956.1</v>
      </c>
      <c r="F16" s="380">
        <v>12931.2</v>
      </c>
      <c r="G16" s="381">
        <v>12964.2</v>
      </c>
      <c r="H16" s="421">
        <v>2017</v>
      </c>
      <c r="I16" s="375">
        <v>12964.2</v>
      </c>
      <c r="J16" s="375"/>
      <c r="K16" s="375"/>
      <c r="L16" s="375">
        <f>Table147[[#This Row],[Ambitious target 2030]]+Table147[[#This Row],[Ambitious target 2030]]*0.5</f>
        <v>0</v>
      </c>
      <c r="M16" s="375"/>
      <c r="N16" s="375"/>
      <c r="O16" s="375"/>
      <c r="P16" s="375"/>
      <c r="Q16" s="375">
        <f>Table147[[#This Row],[Red target]]-Table147[[#This Row],[Red target]]*0.5</f>
        <v>0</v>
      </c>
      <c r="R16" s="375"/>
      <c r="S16" s="375"/>
      <c r="T16" s="375"/>
      <c r="U16" s="375"/>
      <c r="V16" s="375"/>
      <c r="W16" s="375"/>
      <c r="X16" s="375"/>
      <c r="Y16" s="375"/>
      <c r="Z16" s="375"/>
      <c r="AA16" s="375"/>
      <c r="AB16" s="375"/>
      <c r="AC16" s="396"/>
      <c r="AD16" s="360"/>
      <c r="AE16" s="360"/>
      <c r="AF16" s="360"/>
      <c r="AG16" s="360"/>
      <c r="AH16" s="360"/>
      <c r="AI16" s="360"/>
    </row>
    <row r="17" spans="1:35" hidden="1" x14ac:dyDescent="0.25">
      <c r="A17" s="390"/>
      <c r="B17" s="369"/>
      <c r="C17" s="369"/>
      <c r="D17" s="369" t="s">
        <v>679</v>
      </c>
      <c r="E17" s="379">
        <v>9842.2000000000007</v>
      </c>
      <c r="F17" s="380">
        <v>6984.8</v>
      </c>
      <c r="G17" s="381">
        <v>9050.7000000000007</v>
      </c>
      <c r="H17" s="421">
        <v>2017</v>
      </c>
      <c r="I17" s="375">
        <v>9050.7000000000007</v>
      </c>
      <c r="J17" s="375"/>
      <c r="K17" s="375"/>
      <c r="L17" s="375">
        <f>Table147[[#This Row],[Ambitious target 2030]]+Table147[[#This Row],[Ambitious target 2030]]*0.5</f>
        <v>0</v>
      </c>
      <c r="M17" s="375"/>
      <c r="N17" s="375"/>
      <c r="O17" s="375"/>
      <c r="P17" s="375"/>
      <c r="Q17" s="375">
        <f>Table147[[#This Row],[Red target]]-Table147[[#This Row],[Red target]]*0.5</f>
        <v>0</v>
      </c>
      <c r="R17" s="375"/>
      <c r="S17" s="375"/>
      <c r="T17" s="375"/>
      <c r="U17" s="375"/>
      <c r="V17" s="375"/>
      <c r="W17" s="375"/>
      <c r="X17" s="375"/>
      <c r="Y17" s="375"/>
      <c r="Z17" s="375"/>
      <c r="AA17" s="375"/>
      <c r="AB17" s="375"/>
      <c r="AC17" s="396"/>
      <c r="AD17" s="360"/>
      <c r="AE17" s="360"/>
      <c r="AF17" s="360"/>
      <c r="AG17" s="360"/>
      <c r="AH17" s="360"/>
      <c r="AI17" s="360"/>
    </row>
    <row r="18" spans="1:35" hidden="1" x14ac:dyDescent="0.25">
      <c r="A18" s="390"/>
      <c r="B18" s="369"/>
      <c r="C18" s="369"/>
      <c r="D18" s="369" t="s">
        <v>680</v>
      </c>
      <c r="E18" s="379">
        <v>8752.7999999999993</v>
      </c>
      <c r="F18" s="380">
        <v>7776.9</v>
      </c>
      <c r="G18" s="381">
        <v>8794.1</v>
      </c>
      <c r="H18" s="421">
        <v>2017</v>
      </c>
      <c r="I18" s="375">
        <v>8794.1</v>
      </c>
      <c r="J18" s="375"/>
      <c r="K18" s="375"/>
      <c r="L18" s="375">
        <f>Table147[[#This Row],[Ambitious target 2030]]+Table147[[#This Row],[Ambitious target 2030]]*0.5</f>
        <v>0</v>
      </c>
      <c r="M18" s="375"/>
      <c r="N18" s="375"/>
      <c r="O18" s="375"/>
      <c r="P18" s="375"/>
      <c r="Q18" s="375">
        <f>Table147[[#This Row],[Red target]]-Table147[[#This Row],[Red target]]*0.5</f>
        <v>0</v>
      </c>
      <c r="R18" s="375"/>
      <c r="S18" s="375"/>
      <c r="T18" s="375"/>
      <c r="U18" s="375"/>
      <c r="V18" s="375"/>
      <c r="W18" s="375"/>
      <c r="X18" s="375"/>
      <c r="Y18" s="375"/>
      <c r="Z18" s="375"/>
      <c r="AA18" s="375"/>
      <c r="AB18" s="375"/>
      <c r="AC18" s="396"/>
      <c r="AD18" s="360"/>
      <c r="AE18" s="360"/>
      <c r="AF18" s="360"/>
      <c r="AG18" s="360"/>
      <c r="AH18" s="360"/>
      <c r="AI18" s="360"/>
    </row>
    <row r="19" spans="1:35" hidden="1" x14ac:dyDescent="0.25">
      <c r="A19" s="390"/>
      <c r="B19" s="369"/>
      <c r="C19" s="369"/>
      <c r="D19" s="369" t="s">
        <v>681</v>
      </c>
      <c r="E19" s="379">
        <v>9008.6</v>
      </c>
      <c r="F19" s="380">
        <v>8223.1</v>
      </c>
      <c r="G19" s="381">
        <v>8785</v>
      </c>
      <c r="H19" s="421">
        <v>2017</v>
      </c>
      <c r="I19" s="375">
        <v>8785</v>
      </c>
      <c r="J19" s="375"/>
      <c r="K19" s="375"/>
      <c r="L19" s="375">
        <f>Table147[[#This Row],[Ambitious target 2030]]+Table147[[#This Row],[Ambitious target 2030]]*0.5</f>
        <v>0</v>
      </c>
      <c r="M19" s="375"/>
      <c r="N19" s="375"/>
      <c r="O19" s="375"/>
      <c r="P19" s="375"/>
      <c r="Q19" s="375">
        <f>Table147[[#This Row],[Red target]]-Table147[[#This Row],[Red target]]*0.5</f>
        <v>0</v>
      </c>
      <c r="R19" s="375"/>
      <c r="S19" s="375"/>
      <c r="T19" s="375"/>
      <c r="U19" s="375"/>
      <c r="V19" s="375"/>
      <c r="W19" s="375"/>
      <c r="X19" s="375"/>
      <c r="Y19" s="375"/>
      <c r="Z19" s="375"/>
      <c r="AA19" s="375"/>
      <c r="AB19" s="375"/>
      <c r="AC19" s="396"/>
      <c r="AD19" s="360"/>
      <c r="AE19" s="360"/>
      <c r="AF19" s="360"/>
      <c r="AG19" s="360"/>
      <c r="AH19" s="360"/>
      <c r="AI19" s="360"/>
    </row>
    <row r="20" spans="1:35" hidden="1" x14ac:dyDescent="0.25">
      <c r="A20" s="390"/>
      <c r="B20" s="369"/>
      <c r="C20" s="369"/>
      <c r="D20" s="369" t="s">
        <v>682</v>
      </c>
      <c r="E20" s="379">
        <v>8026.6</v>
      </c>
      <c r="F20" s="380">
        <v>8383.7999999999993</v>
      </c>
      <c r="G20" s="381">
        <v>8464.4</v>
      </c>
      <c r="H20" s="421">
        <v>2017</v>
      </c>
      <c r="I20" s="375">
        <v>8464.4</v>
      </c>
      <c r="J20" s="375"/>
      <c r="K20" s="375"/>
      <c r="L20" s="375">
        <f>Table147[[#This Row],[Ambitious target 2030]]+Table147[[#This Row],[Ambitious target 2030]]*0.5</f>
        <v>0</v>
      </c>
      <c r="M20" s="375"/>
      <c r="N20" s="375"/>
      <c r="O20" s="375"/>
      <c r="P20" s="375"/>
      <c r="Q20" s="375">
        <f>Table147[[#This Row],[Red target]]-Table147[[#This Row],[Red target]]*0.5</f>
        <v>0</v>
      </c>
      <c r="R20" s="375"/>
      <c r="S20" s="375"/>
      <c r="T20" s="375"/>
      <c r="U20" s="375"/>
      <c r="V20" s="375"/>
      <c r="W20" s="375"/>
      <c r="X20" s="375"/>
      <c r="Y20" s="375"/>
      <c r="Z20" s="375"/>
      <c r="AA20" s="375"/>
      <c r="AB20" s="375"/>
      <c r="AC20" s="396"/>
      <c r="AD20" s="360"/>
      <c r="AE20" s="360"/>
      <c r="AF20" s="360"/>
      <c r="AG20" s="360"/>
      <c r="AH20" s="360"/>
      <c r="AI20" s="360"/>
    </row>
    <row r="21" spans="1:35" hidden="1" x14ac:dyDescent="0.25">
      <c r="A21" s="390"/>
      <c r="B21" s="369"/>
      <c r="C21" s="369"/>
      <c r="D21" s="369" t="s">
        <v>676</v>
      </c>
      <c r="E21" s="382">
        <v>551.29999999999995</v>
      </c>
      <c r="F21" s="383">
        <v>536.5</v>
      </c>
      <c r="G21" s="384">
        <v>541.9</v>
      </c>
      <c r="H21" s="421">
        <v>2017</v>
      </c>
      <c r="I21" s="375">
        <v>541.9</v>
      </c>
      <c r="J21" s="375"/>
      <c r="K21" s="375"/>
      <c r="L21" s="375">
        <f>Table147[[#This Row],[Ambitious target 2030]]+Table147[[#This Row],[Ambitious target 2030]]*0.5</f>
        <v>0</v>
      </c>
      <c r="M21" s="375"/>
      <c r="N21" s="375"/>
      <c r="O21" s="375"/>
      <c r="P21" s="375"/>
      <c r="Q21" s="375">
        <f>Table147[[#This Row],[Red target]]-Table147[[#This Row],[Red target]]*0.5</f>
        <v>0</v>
      </c>
      <c r="R21" s="375"/>
      <c r="S21" s="375"/>
      <c r="T21" s="375"/>
      <c r="U21" s="375"/>
      <c r="V21" s="375"/>
      <c r="W21" s="375"/>
      <c r="X21" s="375"/>
      <c r="Y21" s="375"/>
      <c r="Z21" s="375"/>
      <c r="AA21" s="375"/>
      <c r="AB21" s="375"/>
      <c r="AC21" s="396"/>
      <c r="AD21" s="360"/>
      <c r="AE21" s="360"/>
      <c r="AF21" s="360"/>
      <c r="AG21" s="360"/>
      <c r="AH21" s="360"/>
      <c r="AI21" s="360"/>
    </row>
    <row r="22" spans="1:35" hidden="1" x14ac:dyDescent="0.25">
      <c r="A22" s="390"/>
      <c r="B22" s="369"/>
      <c r="C22" s="369"/>
      <c r="D22" s="369" t="s">
        <v>683</v>
      </c>
      <c r="E22" s="382">
        <v>538</v>
      </c>
      <c r="F22" s="383">
        <v>507.2</v>
      </c>
      <c r="G22" s="384">
        <v>547</v>
      </c>
      <c r="H22" s="421">
        <v>2017</v>
      </c>
      <c r="I22" s="375">
        <v>547</v>
      </c>
      <c r="J22" s="375"/>
      <c r="K22" s="375"/>
      <c r="L22" s="375">
        <f>Table147[[#This Row],[Ambitious target 2030]]+Table147[[#This Row],[Ambitious target 2030]]*0.5</f>
        <v>0</v>
      </c>
      <c r="M22" s="375"/>
      <c r="N22" s="375"/>
      <c r="O22" s="375"/>
      <c r="P22" s="375"/>
      <c r="Q22" s="375">
        <f>Table147[[#This Row],[Red target]]-Table147[[#This Row],[Red target]]*0.5</f>
        <v>0</v>
      </c>
      <c r="R22" s="375"/>
      <c r="S22" s="375"/>
      <c r="T22" s="375"/>
      <c r="U22" s="375"/>
      <c r="V22" s="375"/>
      <c r="W22" s="375"/>
      <c r="X22" s="375"/>
      <c r="Y22" s="375"/>
      <c r="Z22" s="375"/>
      <c r="AA22" s="375"/>
      <c r="AB22" s="375"/>
      <c r="AC22" s="396"/>
      <c r="AD22" s="360"/>
      <c r="AE22" s="360"/>
      <c r="AF22" s="360"/>
      <c r="AG22" s="360"/>
      <c r="AH22" s="360"/>
      <c r="AI22" s="360"/>
    </row>
    <row r="23" spans="1:35" hidden="1" x14ac:dyDescent="0.25">
      <c r="A23" s="390"/>
      <c r="B23" s="369"/>
      <c r="C23" s="369"/>
      <c r="D23" s="369" t="s">
        <v>684</v>
      </c>
      <c r="E23" s="382">
        <v>553.6</v>
      </c>
      <c r="F23" s="383">
        <v>1279.4000000000001</v>
      </c>
      <c r="G23" s="384">
        <v>609.20000000000005</v>
      </c>
      <c r="H23" s="421">
        <v>2017</v>
      </c>
      <c r="I23" s="375">
        <v>609.20000000000005</v>
      </c>
      <c r="J23" s="375"/>
      <c r="K23" s="375"/>
      <c r="L23" s="375">
        <f>Table147[[#This Row],[Ambitious target 2030]]+Table147[[#This Row],[Ambitious target 2030]]*0.5</f>
        <v>0</v>
      </c>
      <c r="M23" s="375"/>
      <c r="N23" s="375"/>
      <c r="O23" s="375"/>
      <c r="P23" s="375"/>
      <c r="Q23" s="375">
        <f>Table147[[#This Row],[Red target]]-Table147[[#This Row],[Red target]]*0.5</f>
        <v>0</v>
      </c>
      <c r="R23" s="375"/>
      <c r="S23" s="375"/>
      <c r="T23" s="375"/>
      <c r="U23" s="375"/>
      <c r="V23" s="375"/>
      <c r="W23" s="375"/>
      <c r="X23" s="375"/>
      <c r="Y23" s="375"/>
      <c r="Z23" s="375"/>
      <c r="AA23" s="375"/>
      <c r="AB23" s="375"/>
      <c r="AC23" s="396"/>
      <c r="AD23" s="360"/>
      <c r="AE23" s="360"/>
      <c r="AF23" s="360"/>
      <c r="AG23" s="360"/>
      <c r="AH23" s="360"/>
      <c r="AI23" s="360"/>
    </row>
    <row r="24" spans="1:35" hidden="1" x14ac:dyDescent="0.25">
      <c r="A24" s="390"/>
      <c r="B24" s="369"/>
      <c r="C24" s="369"/>
      <c r="D24" s="369" t="s">
        <v>685</v>
      </c>
      <c r="E24" s="382">
        <v>558.20000000000005</v>
      </c>
      <c r="F24" s="383">
        <v>581.79999999999995</v>
      </c>
      <c r="G24" s="384">
        <v>616</v>
      </c>
      <c r="H24" s="421">
        <v>2017</v>
      </c>
      <c r="I24" s="375">
        <v>616</v>
      </c>
      <c r="J24" s="375"/>
      <c r="K24" s="375"/>
      <c r="L24" s="375">
        <f>Table147[[#This Row],[Ambitious target 2030]]+Table147[[#This Row],[Ambitious target 2030]]*0.5</f>
        <v>0</v>
      </c>
      <c r="M24" s="375"/>
      <c r="N24" s="375"/>
      <c r="O24" s="375"/>
      <c r="P24" s="375"/>
      <c r="Q24" s="375">
        <f>Table147[[#This Row],[Red target]]-Table147[[#This Row],[Red target]]*0.5</f>
        <v>0</v>
      </c>
      <c r="R24" s="375"/>
      <c r="S24" s="375"/>
      <c r="T24" s="375"/>
      <c r="U24" s="375"/>
      <c r="V24" s="375"/>
      <c r="W24" s="375"/>
      <c r="X24" s="375"/>
      <c r="Y24" s="375"/>
      <c r="Z24" s="375"/>
      <c r="AA24" s="375"/>
      <c r="AB24" s="375"/>
      <c r="AC24" s="396"/>
      <c r="AD24" s="360"/>
      <c r="AE24" s="360"/>
      <c r="AF24" s="360"/>
      <c r="AG24" s="360"/>
      <c r="AH24" s="360"/>
      <c r="AI24" s="360"/>
    </row>
    <row r="25" spans="1:35" hidden="1" x14ac:dyDescent="0.25">
      <c r="A25" s="390"/>
      <c r="B25" s="369"/>
      <c r="C25" s="369"/>
      <c r="D25" s="369" t="s">
        <v>686</v>
      </c>
      <c r="E25" s="382">
        <v>569.9</v>
      </c>
      <c r="F25" s="383">
        <v>684.8</v>
      </c>
      <c r="G25" s="384">
        <v>674.2</v>
      </c>
      <c r="H25" s="421">
        <v>2017</v>
      </c>
      <c r="I25" s="375">
        <v>674.2</v>
      </c>
      <c r="J25" s="375"/>
      <c r="K25" s="375"/>
      <c r="L25" s="375">
        <f>Table147[[#This Row],[Ambitious target 2030]]+Table147[[#This Row],[Ambitious target 2030]]*0.5</f>
        <v>0</v>
      </c>
      <c r="M25" s="375"/>
      <c r="N25" s="375"/>
      <c r="O25" s="375"/>
      <c r="P25" s="375"/>
      <c r="Q25" s="375">
        <f>Table147[[#This Row],[Red target]]-Table147[[#This Row],[Red target]]*0.5</f>
        <v>0</v>
      </c>
      <c r="R25" s="375"/>
      <c r="S25" s="375"/>
      <c r="T25" s="375"/>
      <c r="U25" s="375"/>
      <c r="V25" s="375"/>
      <c r="W25" s="375"/>
      <c r="X25" s="375"/>
      <c r="Y25" s="375"/>
      <c r="Z25" s="375"/>
      <c r="AA25" s="375"/>
      <c r="AB25" s="375"/>
      <c r="AC25" s="396"/>
      <c r="AD25" s="360"/>
      <c r="AE25" s="360"/>
      <c r="AF25" s="360"/>
      <c r="AG25" s="360"/>
      <c r="AH25" s="360"/>
      <c r="AI25" s="360"/>
    </row>
    <row r="26" spans="1:35" s="386" customFormat="1" hidden="1" x14ac:dyDescent="0.25">
      <c r="A26" s="409"/>
      <c r="B26" s="406"/>
      <c r="C26" s="406"/>
      <c r="D26" s="406"/>
      <c r="E26" s="407">
        <v>2015</v>
      </c>
      <c r="F26" s="407">
        <v>2016</v>
      </c>
      <c r="G26" s="407">
        <v>2017</v>
      </c>
      <c r="H26" s="407"/>
      <c r="I26" s="407"/>
      <c r="J26" s="407"/>
      <c r="K26" s="407"/>
      <c r="L26" s="407">
        <f>Table147[[#This Row],[Ambitious target 2030]]+Table147[[#This Row],[Ambitious target 2030]]*0.5</f>
        <v>0</v>
      </c>
      <c r="M26" s="407"/>
      <c r="N26" s="407"/>
      <c r="O26" s="407"/>
      <c r="P26" s="407"/>
      <c r="Q26" s="407">
        <f>Table147[[#This Row],[Red target]]-Table147[[#This Row],[Red target]]*0.5</f>
        <v>0</v>
      </c>
      <c r="R26" s="407"/>
      <c r="S26" s="407"/>
      <c r="T26" s="407"/>
      <c r="U26" s="407"/>
      <c r="V26" s="407"/>
      <c r="W26" s="407"/>
      <c r="X26" s="407"/>
      <c r="Y26" s="407"/>
      <c r="Z26" s="407"/>
      <c r="AA26" s="407"/>
      <c r="AB26" s="407"/>
      <c r="AC26" s="413"/>
    </row>
    <row r="27" spans="1:35" hidden="1"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Table147[[#This Row],[Ambitious target 2030]]+Table147[[#This Row],[Ambitious target 2030]]*0.5</f>
        <v>17271455.25</v>
      </c>
      <c r="M27" s="425">
        <f>Table147[[#This Row],[Data reference value]]+Table147[[#This Row],[Data reference value]]*Table147[[#This Row],[Ambitious target improvement rate 2030]]</f>
        <v>11514303.5</v>
      </c>
      <c r="N27" s="425">
        <v>0.75</v>
      </c>
      <c r="O27" s="425">
        <f>(Table147[[#This Row],[Ambitious target 2030]]-Table147[[#This Row],[Model reference value]])*0.5+Table147[[#This Row],[Model reference value]]</f>
        <v>9151286.75</v>
      </c>
      <c r="P27" s="425"/>
      <c r="Q27" s="421">
        <f>Table147[[#This Row],[Red target]]-Table147[[#This Row],[Red target]]*0.5</f>
        <v>3394135</v>
      </c>
      <c r="R27" s="421"/>
      <c r="S27" s="421"/>
      <c r="T27" s="421"/>
      <c r="U27" s="421"/>
      <c r="V27" s="421"/>
      <c r="W27" s="421"/>
      <c r="X27" s="421"/>
      <c r="Y27" s="421"/>
      <c r="Z27" s="425">
        <f>Table147[[#This Row],[Model reference value]]</f>
        <v>6788270</v>
      </c>
      <c r="AA27" s="421" t="s">
        <v>1140</v>
      </c>
      <c r="AB27" s="421" t="s">
        <v>1065</v>
      </c>
      <c r="AC27" s="419" t="s">
        <v>852</v>
      </c>
      <c r="AD27" s="360"/>
      <c r="AE27" s="360"/>
      <c r="AF27" s="360"/>
      <c r="AG27" s="360"/>
      <c r="AH27" s="360"/>
      <c r="AI27" s="360"/>
    </row>
    <row r="28" spans="1:35" hidden="1" x14ac:dyDescent="0.25">
      <c r="A28" s="390"/>
      <c r="B28" s="369"/>
      <c r="C28" s="369"/>
      <c r="D28" s="369"/>
      <c r="E28" s="379"/>
      <c r="F28" s="380"/>
      <c r="G28" s="381"/>
      <c r="H28" s="421"/>
      <c r="I28" s="375"/>
      <c r="J28" s="375"/>
      <c r="K28" s="375"/>
      <c r="L28" s="375">
        <f>Table147[[#This Row],[Ambitious target 2030]]+Table147[[#This Row],[Ambitious target 2030]]*0.5</f>
        <v>0</v>
      </c>
      <c r="M28" s="375"/>
      <c r="N28" s="375"/>
      <c r="O28" s="375"/>
      <c r="P28" s="375"/>
      <c r="Q28" s="375">
        <f>Table147[[#This Row],[Red target]]-Table147[[#This Row],[Red target]]*0.5</f>
        <v>0</v>
      </c>
      <c r="R28" s="375"/>
      <c r="S28" s="375"/>
      <c r="T28" s="375"/>
      <c r="U28" s="375"/>
      <c r="V28" s="375"/>
      <c r="W28" s="375"/>
      <c r="X28" s="375"/>
      <c r="Y28" s="375"/>
      <c r="Z28" s="375"/>
      <c r="AA28" s="375"/>
      <c r="AB28" s="375"/>
      <c r="AC28" s="396"/>
      <c r="AD28" s="360"/>
      <c r="AE28" s="360"/>
      <c r="AF28" s="360"/>
      <c r="AG28" s="360"/>
      <c r="AH28" s="360"/>
      <c r="AI28" s="360"/>
    </row>
    <row r="29" spans="1:35" hidden="1" x14ac:dyDescent="0.25">
      <c r="A29" s="390"/>
      <c r="B29" s="369"/>
      <c r="C29" s="369"/>
      <c r="D29" s="372"/>
      <c r="E29" s="379"/>
      <c r="F29" s="380"/>
      <c r="G29" s="381"/>
      <c r="H29" s="421"/>
      <c r="I29" s="375"/>
      <c r="J29" s="375"/>
      <c r="K29" s="375"/>
      <c r="L29" s="431">
        <f>Table147[[#This Row],[Ambitious target 2030]]+Table147[[#This Row],[Ambitious target 2030]]*0.5</f>
        <v>0</v>
      </c>
      <c r="M29" s="375"/>
      <c r="N29" s="375"/>
      <c r="O29" s="431"/>
      <c r="P29" s="431"/>
      <c r="Q29" s="431">
        <f>Table147[[#This Row],[Red target]]-Table147[[#This Row],[Red target]]*0.5</f>
        <v>0</v>
      </c>
      <c r="R29" s="431"/>
      <c r="S29" s="431"/>
      <c r="T29" s="431"/>
      <c r="U29" s="431"/>
      <c r="V29" s="431"/>
      <c r="W29" s="431"/>
      <c r="X29" s="431"/>
      <c r="Y29" s="431"/>
      <c r="Z29" s="431"/>
      <c r="AA29" s="375"/>
      <c r="AB29" s="375"/>
      <c r="AC29" s="396"/>
      <c r="AD29" s="360"/>
      <c r="AE29" s="360"/>
      <c r="AF29" s="360"/>
      <c r="AG29" s="360"/>
      <c r="AH29" s="360"/>
      <c r="AI29" s="360"/>
    </row>
    <row r="30" spans="1:35" hidden="1" x14ac:dyDescent="0.25">
      <c r="A30" s="390"/>
      <c r="B30" s="369"/>
      <c r="C30" s="369"/>
      <c r="D30" s="372"/>
      <c r="E30" s="379"/>
      <c r="F30" s="380"/>
      <c r="G30" s="381"/>
      <c r="H30" s="421"/>
      <c r="I30" s="375"/>
      <c r="J30" s="375"/>
      <c r="K30" s="375"/>
      <c r="L30" s="431">
        <f>Table147[[#This Row],[Ambitious target 2030]]+Table147[[#This Row],[Ambitious target 2030]]*0.5</f>
        <v>0</v>
      </c>
      <c r="M30" s="375"/>
      <c r="N30" s="375"/>
      <c r="O30" s="431"/>
      <c r="P30" s="431"/>
      <c r="Q30" s="431">
        <f>Table147[[#This Row],[Red target]]-Table147[[#This Row],[Red target]]*0.5</f>
        <v>0</v>
      </c>
      <c r="R30" s="431"/>
      <c r="S30" s="431"/>
      <c r="T30" s="431"/>
      <c r="U30" s="431"/>
      <c r="V30" s="431"/>
      <c r="W30" s="431"/>
      <c r="X30" s="431"/>
      <c r="Y30" s="431"/>
      <c r="Z30" s="431"/>
      <c r="AA30" s="375"/>
      <c r="AB30" s="375"/>
      <c r="AC30" s="396"/>
      <c r="AD30" s="360"/>
      <c r="AE30" s="360"/>
      <c r="AF30" s="360"/>
      <c r="AG30" s="360"/>
      <c r="AH30" s="360"/>
      <c r="AI30" s="360"/>
    </row>
    <row r="31" spans="1:35" hidden="1" x14ac:dyDescent="0.25">
      <c r="A31" s="390"/>
      <c r="B31" s="369"/>
      <c r="C31" s="369"/>
      <c r="D31" s="372"/>
      <c r="E31" s="379"/>
      <c r="F31" s="380"/>
      <c r="G31" s="381"/>
      <c r="H31" s="421"/>
      <c r="I31" s="375"/>
      <c r="J31" s="375"/>
      <c r="K31" s="375"/>
      <c r="L31" s="431">
        <f>Table147[[#This Row],[Ambitious target 2030]]+Table147[[#This Row],[Ambitious target 2030]]*0.5</f>
        <v>0</v>
      </c>
      <c r="M31" s="375"/>
      <c r="N31" s="375"/>
      <c r="O31" s="431"/>
      <c r="P31" s="431"/>
      <c r="Q31" s="431">
        <f>Table147[[#This Row],[Red target]]-Table147[[#This Row],[Red target]]*0.5</f>
        <v>0</v>
      </c>
      <c r="R31" s="431"/>
      <c r="S31" s="431"/>
      <c r="T31" s="431"/>
      <c r="U31" s="431"/>
      <c r="V31" s="431"/>
      <c r="W31" s="431"/>
      <c r="X31" s="431"/>
      <c r="Y31" s="431"/>
      <c r="Z31" s="431"/>
      <c r="AA31" s="375"/>
      <c r="AB31" s="375"/>
      <c r="AC31" s="396"/>
      <c r="AD31" s="360"/>
      <c r="AE31" s="360"/>
      <c r="AF31" s="360"/>
      <c r="AG31" s="360"/>
      <c r="AH31" s="360"/>
      <c r="AI31" s="360"/>
    </row>
    <row r="32" spans="1:35" hidden="1" x14ac:dyDescent="0.25">
      <c r="A32" s="390"/>
      <c r="B32" s="369"/>
      <c r="C32" s="369"/>
      <c r="D32" s="372"/>
      <c r="E32" s="379"/>
      <c r="F32" s="380"/>
      <c r="G32" s="381"/>
      <c r="H32" s="421"/>
      <c r="I32" s="375"/>
      <c r="J32" s="375"/>
      <c r="K32" s="375"/>
      <c r="L32" s="431">
        <f>Table147[[#This Row],[Ambitious target 2030]]+Table147[[#This Row],[Ambitious target 2030]]*0.5</f>
        <v>0</v>
      </c>
      <c r="M32" s="375"/>
      <c r="N32" s="375"/>
      <c r="O32" s="431"/>
      <c r="P32" s="431"/>
      <c r="Q32" s="431">
        <f>Table147[[#This Row],[Red target]]-Table147[[#This Row],[Red target]]*0.5</f>
        <v>0</v>
      </c>
      <c r="R32" s="431"/>
      <c r="S32" s="431"/>
      <c r="T32" s="431"/>
      <c r="U32" s="431"/>
      <c r="V32" s="431"/>
      <c r="W32" s="431"/>
      <c r="X32" s="431"/>
      <c r="Y32" s="431"/>
      <c r="Z32" s="431"/>
      <c r="AA32" s="375"/>
      <c r="AB32" s="375"/>
      <c r="AC32" s="396"/>
      <c r="AD32" s="360"/>
      <c r="AE32" s="360"/>
      <c r="AF32" s="360"/>
      <c r="AG32" s="360"/>
      <c r="AH32" s="360"/>
      <c r="AI32" s="360"/>
    </row>
    <row r="33" spans="1:35" hidden="1" x14ac:dyDescent="0.25">
      <c r="A33" s="390"/>
      <c r="B33" s="369"/>
      <c r="C33" s="369"/>
      <c r="D33" s="369"/>
      <c r="E33" s="382"/>
      <c r="F33" s="383"/>
      <c r="G33" s="384"/>
      <c r="H33" s="421"/>
      <c r="I33" s="375"/>
      <c r="J33" s="375"/>
      <c r="K33" s="375"/>
      <c r="L33" s="375">
        <f>Table147[[#This Row],[Ambitious target 2030]]+Table147[[#This Row],[Ambitious target 2030]]*0.5</f>
        <v>0</v>
      </c>
      <c r="M33" s="375"/>
      <c r="N33" s="375"/>
      <c r="O33" s="375"/>
      <c r="P33" s="375"/>
      <c r="Q33" s="375">
        <f>Table147[[#This Row],[Red target]]-Table147[[#This Row],[Red target]]*0.5</f>
        <v>0</v>
      </c>
      <c r="R33" s="375"/>
      <c r="S33" s="375"/>
      <c r="T33" s="375"/>
      <c r="U33" s="375"/>
      <c r="V33" s="375"/>
      <c r="W33" s="375"/>
      <c r="X33" s="375"/>
      <c r="Y33" s="375"/>
      <c r="Z33" s="375"/>
      <c r="AA33" s="375"/>
      <c r="AB33" s="375"/>
      <c r="AC33" s="396"/>
      <c r="AD33" s="360"/>
      <c r="AE33" s="360"/>
      <c r="AF33" s="360"/>
      <c r="AG33" s="360"/>
      <c r="AH33" s="360"/>
      <c r="AI33" s="360"/>
    </row>
    <row r="34" spans="1:35" hidden="1" x14ac:dyDescent="0.25">
      <c r="A34" s="390"/>
      <c r="B34" s="369"/>
      <c r="C34" s="369"/>
      <c r="D34" s="369"/>
      <c r="E34" s="382"/>
      <c r="F34" s="383"/>
      <c r="G34" s="384"/>
      <c r="H34" s="421"/>
      <c r="I34" s="375"/>
      <c r="J34" s="375"/>
      <c r="K34" s="375"/>
      <c r="L34" s="375">
        <f>Table147[[#This Row],[Ambitious target 2030]]+Table147[[#This Row],[Ambitious target 2030]]*0.5</f>
        <v>0</v>
      </c>
      <c r="M34" s="375"/>
      <c r="N34" s="375"/>
      <c r="O34" s="375"/>
      <c r="P34" s="375"/>
      <c r="Q34" s="375">
        <f>Table147[[#This Row],[Red target]]-Table147[[#This Row],[Red target]]*0.5</f>
        <v>0</v>
      </c>
      <c r="R34" s="375"/>
      <c r="S34" s="375"/>
      <c r="T34" s="375"/>
      <c r="U34" s="375"/>
      <c r="V34" s="375"/>
      <c r="W34" s="375"/>
      <c r="X34" s="375"/>
      <c r="Y34" s="375"/>
      <c r="Z34" s="375"/>
      <c r="AA34" s="375"/>
      <c r="AB34" s="375"/>
      <c r="AC34" s="396"/>
      <c r="AD34" s="360"/>
      <c r="AE34" s="360"/>
      <c r="AF34" s="360"/>
      <c r="AG34" s="360"/>
      <c r="AH34" s="360"/>
      <c r="AI34" s="360"/>
    </row>
    <row r="35" spans="1:35" hidden="1" x14ac:dyDescent="0.25">
      <c r="A35" s="390"/>
      <c r="B35" s="369"/>
      <c r="C35" s="369"/>
      <c r="D35" s="372"/>
      <c r="E35" s="382"/>
      <c r="F35" s="383"/>
      <c r="G35" s="384"/>
      <c r="H35" s="421"/>
      <c r="I35" s="375"/>
      <c r="J35" s="375"/>
      <c r="K35" s="375"/>
      <c r="L35" s="431">
        <f>Table147[[#This Row],[Ambitious target 2030]]+Table147[[#This Row],[Ambitious target 2030]]*0.5</f>
        <v>0</v>
      </c>
      <c r="M35" s="375"/>
      <c r="N35" s="375"/>
      <c r="O35" s="431"/>
      <c r="P35" s="431"/>
      <c r="Q35" s="431">
        <f>Table147[[#This Row],[Red target]]-Table147[[#This Row],[Red target]]*0.5</f>
        <v>0</v>
      </c>
      <c r="R35" s="431"/>
      <c r="S35" s="431"/>
      <c r="T35" s="431"/>
      <c r="U35" s="431"/>
      <c r="V35" s="431"/>
      <c r="W35" s="431"/>
      <c r="X35" s="431"/>
      <c r="Y35" s="431"/>
      <c r="Z35" s="431"/>
      <c r="AA35" s="375"/>
      <c r="AB35" s="375"/>
      <c r="AC35" s="396"/>
      <c r="AD35" s="360"/>
      <c r="AE35" s="360"/>
      <c r="AF35" s="360"/>
      <c r="AG35" s="360"/>
      <c r="AH35" s="360"/>
      <c r="AI35" s="360"/>
    </row>
    <row r="36" spans="1:35" hidden="1" x14ac:dyDescent="0.25">
      <c r="A36" s="390"/>
      <c r="B36" s="369"/>
      <c r="C36" s="369"/>
      <c r="D36" s="372"/>
      <c r="E36" s="382"/>
      <c r="F36" s="383"/>
      <c r="G36" s="384"/>
      <c r="H36" s="421"/>
      <c r="I36" s="375"/>
      <c r="J36" s="375"/>
      <c r="K36" s="375"/>
      <c r="L36" s="431">
        <f>Table147[[#This Row],[Ambitious target 2030]]+Table147[[#This Row],[Ambitious target 2030]]*0.5</f>
        <v>0</v>
      </c>
      <c r="M36" s="375"/>
      <c r="N36" s="375"/>
      <c r="O36" s="431"/>
      <c r="P36" s="431"/>
      <c r="Q36" s="431">
        <f>Table147[[#This Row],[Red target]]-Table147[[#This Row],[Red target]]*0.5</f>
        <v>0</v>
      </c>
      <c r="R36" s="431"/>
      <c r="S36" s="431"/>
      <c r="T36" s="431"/>
      <c r="U36" s="431"/>
      <c r="V36" s="431"/>
      <c r="W36" s="431"/>
      <c r="X36" s="431"/>
      <c r="Y36" s="431"/>
      <c r="Z36" s="431"/>
      <c r="AA36" s="375"/>
      <c r="AB36" s="375"/>
      <c r="AC36" s="396"/>
      <c r="AD36" s="360"/>
      <c r="AE36" s="360"/>
      <c r="AF36" s="360"/>
      <c r="AG36" s="360"/>
      <c r="AH36" s="360"/>
      <c r="AI36" s="360"/>
    </row>
    <row r="37" spans="1:35" hidden="1" x14ac:dyDescent="0.25">
      <c r="A37" s="390"/>
      <c r="B37" s="369"/>
      <c r="C37" s="369"/>
      <c r="D37" s="372"/>
      <c r="E37" s="382"/>
      <c r="F37" s="383"/>
      <c r="G37" s="384"/>
      <c r="H37" s="421"/>
      <c r="I37" s="375"/>
      <c r="J37" s="375"/>
      <c r="K37" s="375"/>
      <c r="L37" s="431">
        <f>Table147[[#This Row],[Ambitious target 2030]]+Table147[[#This Row],[Ambitious target 2030]]*0.5</f>
        <v>0</v>
      </c>
      <c r="M37" s="375"/>
      <c r="N37" s="375"/>
      <c r="O37" s="431"/>
      <c r="P37" s="431"/>
      <c r="Q37" s="431">
        <f>Table147[[#This Row],[Red target]]-Table147[[#This Row],[Red target]]*0.5</f>
        <v>0</v>
      </c>
      <c r="R37" s="431"/>
      <c r="S37" s="431"/>
      <c r="T37" s="431"/>
      <c r="U37" s="431"/>
      <c r="V37" s="431"/>
      <c r="W37" s="431"/>
      <c r="X37" s="431"/>
      <c r="Y37" s="431"/>
      <c r="Z37" s="431"/>
      <c r="AA37" s="375"/>
      <c r="AB37" s="375"/>
      <c r="AC37" s="396"/>
      <c r="AD37" s="360"/>
      <c r="AE37" s="360"/>
      <c r="AF37" s="360"/>
      <c r="AG37" s="360"/>
      <c r="AH37" s="360"/>
      <c r="AI37" s="360"/>
    </row>
    <row r="38" spans="1:35" s="386" customFormat="1" hidden="1" x14ac:dyDescent="0.25">
      <c r="A38" s="409"/>
      <c r="B38" s="406"/>
      <c r="C38" s="406"/>
      <c r="D38" s="406"/>
      <c r="E38" s="407">
        <v>2015</v>
      </c>
      <c r="F38" s="407">
        <v>2016</v>
      </c>
      <c r="G38" s="407">
        <v>2017</v>
      </c>
      <c r="H38" s="407"/>
      <c r="I38" s="407"/>
      <c r="J38" s="407"/>
      <c r="K38" s="407"/>
      <c r="L38" s="407">
        <f>Table147[[#This Row],[Ambitious target 2030]]+Table147[[#This Row],[Ambitious target 2030]]*0.5</f>
        <v>0</v>
      </c>
      <c r="M38" s="407"/>
      <c r="N38" s="407"/>
      <c r="O38" s="407"/>
      <c r="P38" s="407"/>
      <c r="Q38" s="407">
        <f>Table147[[#This Row],[Red target]]-Table147[[#This Row],[Red target]]*0.5</f>
        <v>0</v>
      </c>
      <c r="R38" s="407"/>
      <c r="S38" s="407"/>
      <c r="T38" s="407"/>
      <c r="U38" s="407"/>
      <c r="V38" s="407"/>
      <c r="W38" s="407"/>
      <c r="X38" s="407"/>
      <c r="Y38" s="407"/>
      <c r="Z38" s="407"/>
      <c r="AA38" s="407"/>
      <c r="AB38" s="407"/>
      <c r="AC38" s="413"/>
    </row>
    <row r="39" spans="1:35" hidden="1"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Table147[[#This Row],[Ambitious target 2030]]+Table147[[#This Row],[Ambitious target 2030]]*0.5</f>
        <v>851145.75</v>
      </c>
      <c r="M39" s="421">
        <f>Table147[[#This Row],[Data reference value]]+Table147[[#This Row],[Data reference value]]*Table147[[#This Row],[Ambitious target improvement rate 2030]]</f>
        <v>567430.5</v>
      </c>
      <c r="N39" s="421">
        <v>0.75</v>
      </c>
      <c r="O39" s="421">
        <f>(Table147[[#This Row],[Ambitious target 2030]]-Table147[[#This Row],[Model reference value]])*0.5+Table147[[#This Row],[Model reference value]]</f>
        <v>453754.75</v>
      </c>
      <c r="P39" s="421"/>
      <c r="Q39" s="421">
        <f>Table147[[#This Row],[Red target]]-Table147[[#This Row],[Red target]]*0.5</f>
        <v>170039.5</v>
      </c>
      <c r="R39" s="421"/>
      <c r="S39" s="421"/>
      <c r="T39" s="421"/>
      <c r="U39" s="421"/>
      <c r="V39" s="421"/>
      <c r="W39" s="421"/>
      <c r="X39" s="421"/>
      <c r="Y39" s="421"/>
      <c r="Z39" s="421">
        <f>Table147[[#This Row],[Model reference value]]</f>
        <v>340079</v>
      </c>
      <c r="AA39" s="421" t="s">
        <v>1140</v>
      </c>
      <c r="AB39" s="421" t="s">
        <v>1066</v>
      </c>
      <c r="AC39" s="419" t="s">
        <v>852</v>
      </c>
      <c r="AD39" s="360"/>
      <c r="AE39" s="360"/>
      <c r="AF39" s="360"/>
      <c r="AG39" s="360"/>
      <c r="AH39" s="360"/>
      <c r="AI39" s="360"/>
    </row>
    <row r="40" spans="1:35" hidden="1" x14ac:dyDescent="0.25">
      <c r="A40" s="390"/>
      <c r="B40" s="369"/>
      <c r="C40" s="369"/>
      <c r="D40" s="369" t="s">
        <v>777</v>
      </c>
      <c r="E40" s="379">
        <v>88366</v>
      </c>
      <c r="F40" s="380">
        <v>87584</v>
      </c>
      <c r="G40" s="381">
        <v>88051</v>
      </c>
      <c r="H40" s="421"/>
      <c r="I40" s="375"/>
      <c r="J40" s="375"/>
      <c r="K40" s="375"/>
      <c r="L40" s="375">
        <f>Table147[[#This Row],[Ambitious target 2030]]+Table147[[#This Row],[Ambitious target 2030]]*0.5</f>
        <v>0</v>
      </c>
      <c r="M40" s="375"/>
      <c r="N40" s="375"/>
      <c r="O40" s="375"/>
      <c r="P40" s="375"/>
      <c r="Q40" s="375">
        <f>Table147[[#This Row],[Red target]]-Table147[[#This Row],[Red target]]*0.5</f>
        <v>0</v>
      </c>
      <c r="R40" s="375"/>
      <c r="S40" s="375"/>
      <c r="T40" s="375"/>
      <c r="U40" s="375"/>
      <c r="V40" s="375"/>
      <c r="W40" s="375"/>
      <c r="X40" s="375"/>
      <c r="Y40" s="375"/>
      <c r="Z40" s="375"/>
      <c r="AA40" s="375"/>
      <c r="AB40" s="375"/>
      <c r="AC40" s="396"/>
      <c r="AD40" s="360"/>
      <c r="AE40" s="360"/>
      <c r="AF40" s="360"/>
      <c r="AG40" s="360"/>
      <c r="AH40" s="360"/>
      <c r="AI40" s="360"/>
    </row>
    <row r="41" spans="1:35" hidden="1" x14ac:dyDescent="0.25">
      <c r="A41" s="390"/>
      <c r="B41" s="369"/>
      <c r="C41" s="369"/>
      <c r="D41" s="369" t="s">
        <v>847</v>
      </c>
      <c r="E41" s="379">
        <v>43275</v>
      </c>
      <c r="F41" s="380">
        <v>44636</v>
      </c>
      <c r="G41" s="381">
        <v>45791</v>
      </c>
      <c r="H41" s="421"/>
      <c r="I41" s="375"/>
      <c r="J41" s="375"/>
      <c r="K41" s="375"/>
      <c r="L41" s="375">
        <f>Table147[[#This Row],[Ambitious target 2030]]+Table147[[#This Row],[Ambitious target 2030]]*0.5</f>
        <v>0</v>
      </c>
      <c r="M41" s="375"/>
      <c r="N41" s="375"/>
      <c r="O41" s="375"/>
      <c r="P41" s="375"/>
      <c r="Q41" s="375">
        <f>Table147[[#This Row],[Red target]]-Table147[[#This Row],[Red target]]*0.5</f>
        <v>0</v>
      </c>
      <c r="R41" s="375"/>
      <c r="S41" s="375"/>
      <c r="T41" s="375"/>
      <c r="U41" s="375"/>
      <c r="V41" s="375"/>
      <c r="W41" s="375"/>
      <c r="X41" s="375"/>
      <c r="Y41" s="375"/>
      <c r="Z41" s="375"/>
      <c r="AA41" s="375"/>
      <c r="AB41" s="375"/>
      <c r="AC41" s="396"/>
      <c r="AD41" s="360"/>
      <c r="AE41" s="360"/>
      <c r="AF41" s="360"/>
      <c r="AG41" s="360"/>
      <c r="AH41" s="360"/>
      <c r="AI41" s="360"/>
    </row>
    <row r="42" spans="1:35" hidden="1" x14ac:dyDescent="0.25">
      <c r="A42" s="390"/>
      <c r="B42" s="369"/>
      <c r="C42" s="369"/>
      <c r="D42" s="369" t="s">
        <v>778</v>
      </c>
      <c r="E42" s="379">
        <v>26864</v>
      </c>
      <c r="F42" s="380">
        <v>27200</v>
      </c>
      <c r="G42" s="381">
        <v>27946</v>
      </c>
      <c r="H42" s="421"/>
      <c r="I42" s="375"/>
      <c r="J42" s="375"/>
      <c r="K42" s="375"/>
      <c r="L42" s="375">
        <f>Table147[[#This Row],[Ambitious target 2030]]+Table147[[#This Row],[Ambitious target 2030]]*0.5</f>
        <v>0</v>
      </c>
      <c r="M42" s="375"/>
      <c r="N42" s="375"/>
      <c r="O42" s="375"/>
      <c r="P42" s="375"/>
      <c r="Q42" s="375">
        <f>Table147[[#This Row],[Red target]]-Table147[[#This Row],[Red target]]*0.5</f>
        <v>0</v>
      </c>
      <c r="R42" s="375"/>
      <c r="S42" s="375"/>
      <c r="T42" s="375"/>
      <c r="U42" s="375"/>
      <c r="V42" s="375"/>
      <c r="W42" s="375"/>
      <c r="X42" s="375"/>
      <c r="Y42" s="375"/>
      <c r="Z42" s="375"/>
      <c r="AA42" s="375"/>
      <c r="AB42" s="375"/>
      <c r="AC42" s="396"/>
      <c r="AD42" s="360"/>
      <c r="AE42" s="360"/>
      <c r="AF42" s="360"/>
      <c r="AG42" s="360"/>
      <c r="AH42" s="360"/>
      <c r="AI42" s="360"/>
    </row>
    <row r="43" spans="1:35" hidden="1" x14ac:dyDescent="0.25">
      <c r="A43" s="390"/>
      <c r="B43" s="369"/>
      <c r="C43" s="369"/>
      <c r="D43" s="369" t="s">
        <v>841</v>
      </c>
      <c r="E43" s="379">
        <v>9570</v>
      </c>
      <c r="F43" s="380">
        <v>9904</v>
      </c>
      <c r="G43" s="381">
        <v>10389</v>
      </c>
      <c r="H43" s="421"/>
      <c r="I43" s="375"/>
      <c r="J43" s="375"/>
      <c r="K43" s="375"/>
      <c r="L43" s="375">
        <f>Table147[[#This Row],[Ambitious target 2030]]+Table147[[#This Row],[Ambitious target 2030]]*0.5</f>
        <v>0</v>
      </c>
      <c r="M43" s="375"/>
      <c r="N43" s="375"/>
      <c r="O43" s="375"/>
      <c r="P43" s="375"/>
      <c r="Q43" s="375">
        <f>Table147[[#This Row],[Red target]]-Table147[[#This Row],[Red target]]*0.5</f>
        <v>0</v>
      </c>
      <c r="R43" s="375"/>
      <c r="S43" s="375"/>
      <c r="T43" s="375"/>
      <c r="U43" s="375"/>
      <c r="V43" s="375"/>
      <c r="W43" s="375"/>
      <c r="X43" s="375"/>
      <c r="Y43" s="375"/>
      <c r="Z43" s="375"/>
      <c r="AA43" s="375"/>
      <c r="AB43" s="375"/>
      <c r="AC43" s="396"/>
      <c r="AD43" s="360"/>
      <c r="AE43" s="360"/>
      <c r="AF43" s="360"/>
      <c r="AG43" s="360"/>
      <c r="AH43" s="360"/>
      <c r="AI43" s="360"/>
    </row>
    <row r="44" spans="1:35" hidden="1" x14ac:dyDescent="0.25">
      <c r="A44" s="390"/>
      <c r="B44" s="369"/>
      <c r="C44" s="369"/>
      <c r="D44" s="369" t="s">
        <v>720</v>
      </c>
      <c r="E44" s="379">
        <v>8388</v>
      </c>
      <c r="F44" s="380">
        <v>8436</v>
      </c>
      <c r="G44" s="381">
        <v>8298</v>
      </c>
      <c r="H44" s="421"/>
      <c r="I44" s="375"/>
      <c r="J44" s="375"/>
      <c r="K44" s="375"/>
      <c r="L44" s="375">
        <f>Table147[[#This Row],[Ambitious target 2030]]+Table147[[#This Row],[Ambitious target 2030]]*0.5</f>
        <v>0</v>
      </c>
      <c r="M44" s="375"/>
      <c r="N44" s="375"/>
      <c r="O44" s="375"/>
      <c r="P44" s="375"/>
      <c r="Q44" s="375">
        <f>Table147[[#This Row],[Red target]]-Table147[[#This Row],[Red target]]*0.5</f>
        <v>0</v>
      </c>
      <c r="R44" s="375"/>
      <c r="S44" s="375"/>
      <c r="T44" s="375"/>
      <c r="U44" s="375"/>
      <c r="V44" s="375"/>
      <c r="W44" s="375"/>
      <c r="X44" s="375"/>
      <c r="Y44" s="375"/>
      <c r="Z44" s="375"/>
      <c r="AA44" s="375"/>
      <c r="AB44" s="375"/>
      <c r="AC44" s="396"/>
      <c r="AD44" s="360"/>
      <c r="AE44" s="360"/>
      <c r="AF44" s="360"/>
      <c r="AG44" s="360"/>
      <c r="AH44" s="360"/>
      <c r="AI44" s="360"/>
    </row>
    <row r="45" spans="1:35" hidden="1" x14ac:dyDescent="0.25">
      <c r="A45" s="390"/>
      <c r="B45" s="369"/>
      <c r="C45" s="369"/>
      <c r="D45" s="369" t="s">
        <v>848</v>
      </c>
      <c r="E45" s="382">
        <v>4</v>
      </c>
      <c r="F45" s="383">
        <v>4</v>
      </c>
      <c r="G45" s="384">
        <v>4</v>
      </c>
      <c r="H45" s="421"/>
      <c r="I45" s="375"/>
      <c r="J45" s="375"/>
      <c r="K45" s="375"/>
      <c r="L45" s="375">
        <f>Table147[[#This Row],[Ambitious target 2030]]+Table147[[#This Row],[Ambitious target 2030]]*0.5</f>
        <v>0</v>
      </c>
      <c r="M45" s="375"/>
      <c r="N45" s="375"/>
      <c r="O45" s="375"/>
      <c r="P45" s="375"/>
      <c r="Q45" s="375">
        <f>Table147[[#This Row],[Red target]]-Table147[[#This Row],[Red target]]*0.5</f>
        <v>0</v>
      </c>
      <c r="R45" s="375"/>
      <c r="S45" s="375"/>
      <c r="T45" s="375"/>
      <c r="U45" s="375"/>
      <c r="V45" s="375"/>
      <c r="W45" s="375"/>
      <c r="X45" s="375"/>
      <c r="Y45" s="375"/>
      <c r="Z45" s="375"/>
      <c r="AA45" s="375"/>
      <c r="AB45" s="375"/>
      <c r="AC45" s="396"/>
      <c r="AD45" s="360"/>
      <c r="AE45" s="360"/>
      <c r="AF45" s="360"/>
      <c r="AG45" s="360"/>
      <c r="AH45" s="360"/>
      <c r="AI45" s="360"/>
    </row>
    <row r="46" spans="1:35" hidden="1" x14ac:dyDescent="0.25">
      <c r="A46" s="390"/>
      <c r="B46" s="369"/>
      <c r="C46" s="369"/>
      <c r="D46" s="369" t="s">
        <v>849</v>
      </c>
      <c r="E46" s="382">
        <v>5</v>
      </c>
      <c r="F46" s="383">
        <v>5</v>
      </c>
      <c r="G46" s="384">
        <v>5</v>
      </c>
      <c r="H46" s="421"/>
      <c r="I46" s="375"/>
      <c r="J46" s="375"/>
      <c r="K46" s="375"/>
      <c r="L46" s="375">
        <f>Table147[[#This Row],[Ambitious target 2030]]+Table147[[#This Row],[Ambitious target 2030]]*0.5</f>
        <v>0</v>
      </c>
      <c r="M46" s="375"/>
      <c r="N46" s="375"/>
      <c r="O46" s="375"/>
      <c r="P46" s="375"/>
      <c r="Q46" s="375">
        <f>Table147[[#This Row],[Red target]]-Table147[[#This Row],[Red target]]*0.5</f>
        <v>0</v>
      </c>
      <c r="R46" s="375"/>
      <c r="S46" s="375"/>
      <c r="T46" s="375"/>
      <c r="U46" s="375"/>
      <c r="V46" s="375"/>
      <c r="W46" s="375"/>
      <c r="X46" s="375"/>
      <c r="Y46" s="375"/>
      <c r="Z46" s="375"/>
      <c r="AA46" s="375"/>
      <c r="AB46" s="375"/>
      <c r="AC46" s="396"/>
      <c r="AD46" s="360"/>
      <c r="AE46" s="360"/>
      <c r="AF46" s="360"/>
      <c r="AG46" s="360"/>
      <c r="AH46" s="360"/>
      <c r="AI46" s="360"/>
    </row>
    <row r="47" spans="1:35" hidden="1" x14ac:dyDescent="0.25">
      <c r="A47" s="390"/>
      <c r="B47" s="369"/>
      <c r="C47" s="369"/>
      <c r="D47" s="369" t="s">
        <v>850</v>
      </c>
      <c r="E47" s="382">
        <v>11</v>
      </c>
      <c r="F47" s="383">
        <v>11</v>
      </c>
      <c r="G47" s="384">
        <v>11</v>
      </c>
      <c r="H47" s="421"/>
      <c r="I47" s="375"/>
      <c r="J47" s="375"/>
      <c r="K47" s="375"/>
      <c r="L47" s="375">
        <f>Table147[[#This Row],[Ambitious target 2030]]+Table147[[#This Row],[Ambitious target 2030]]*0.5</f>
        <v>0</v>
      </c>
      <c r="M47" s="375"/>
      <c r="N47" s="375"/>
      <c r="O47" s="375"/>
      <c r="P47" s="375"/>
      <c r="Q47" s="375">
        <f>Table147[[#This Row],[Red target]]-Table147[[#This Row],[Red target]]*0.5</f>
        <v>0</v>
      </c>
      <c r="R47" s="375"/>
      <c r="S47" s="375"/>
      <c r="T47" s="375"/>
      <c r="U47" s="375"/>
      <c r="V47" s="375"/>
      <c r="W47" s="375"/>
      <c r="X47" s="375"/>
      <c r="Y47" s="375"/>
      <c r="Z47" s="375"/>
      <c r="AA47" s="375"/>
      <c r="AB47" s="375"/>
      <c r="AC47" s="396"/>
      <c r="AD47" s="360"/>
      <c r="AE47" s="360"/>
      <c r="AF47" s="360"/>
      <c r="AG47" s="360"/>
      <c r="AH47" s="360"/>
      <c r="AI47" s="360"/>
    </row>
    <row r="48" spans="1:35" hidden="1" x14ac:dyDescent="0.25">
      <c r="A48" s="390"/>
      <c r="B48" s="369"/>
      <c r="C48" s="369"/>
      <c r="D48" s="369" t="s">
        <v>851</v>
      </c>
      <c r="E48" s="382">
        <v>12</v>
      </c>
      <c r="F48" s="383">
        <v>11</v>
      </c>
      <c r="G48" s="384">
        <v>12</v>
      </c>
      <c r="H48" s="421"/>
      <c r="I48" s="375"/>
      <c r="J48" s="375"/>
      <c r="K48" s="375"/>
      <c r="L48" s="375">
        <f>Table147[[#This Row],[Ambitious target 2030]]+Table147[[#This Row],[Ambitious target 2030]]*0.5</f>
        <v>0</v>
      </c>
      <c r="M48" s="375"/>
      <c r="N48" s="375"/>
      <c r="O48" s="375"/>
      <c r="P48" s="375"/>
      <c r="Q48" s="375">
        <f>Table147[[#This Row],[Red target]]-Table147[[#This Row],[Red target]]*0.5</f>
        <v>0</v>
      </c>
      <c r="R48" s="375"/>
      <c r="S48" s="375"/>
      <c r="T48" s="375"/>
      <c r="U48" s="375"/>
      <c r="V48" s="375"/>
      <c r="W48" s="375"/>
      <c r="X48" s="375"/>
      <c r="Y48" s="375"/>
      <c r="Z48" s="375"/>
      <c r="AA48" s="375"/>
      <c r="AB48" s="375"/>
      <c r="AC48" s="396"/>
      <c r="AD48" s="360"/>
      <c r="AE48" s="360"/>
      <c r="AF48" s="360"/>
      <c r="AG48" s="360"/>
      <c r="AH48" s="360"/>
      <c r="AI48" s="360"/>
    </row>
    <row r="49" spans="1:35" hidden="1" x14ac:dyDescent="0.25">
      <c r="A49" s="390"/>
      <c r="B49" s="369"/>
      <c r="C49" s="369"/>
      <c r="D49" s="369" t="s">
        <v>713</v>
      </c>
      <c r="E49" s="382">
        <v>34</v>
      </c>
      <c r="F49" s="383">
        <v>37</v>
      </c>
      <c r="G49" s="384">
        <v>38</v>
      </c>
      <c r="H49" s="421"/>
      <c r="I49" s="375"/>
      <c r="J49" s="375"/>
      <c r="K49" s="375"/>
      <c r="L49" s="375">
        <f>Table147[[#This Row],[Ambitious target 2030]]+Table147[[#This Row],[Ambitious target 2030]]*0.5</f>
        <v>0</v>
      </c>
      <c r="M49" s="375"/>
      <c r="N49" s="375"/>
      <c r="O49" s="375"/>
      <c r="P49" s="375"/>
      <c r="Q49" s="375">
        <f>Table147[[#This Row],[Red target]]-Table147[[#This Row],[Red target]]*0.5</f>
        <v>0</v>
      </c>
      <c r="R49" s="375"/>
      <c r="S49" s="375"/>
      <c r="T49" s="375"/>
      <c r="U49" s="375"/>
      <c r="V49" s="375"/>
      <c r="W49" s="375"/>
      <c r="X49" s="375"/>
      <c r="Y49" s="375"/>
      <c r="Z49" s="375"/>
      <c r="AA49" s="375"/>
      <c r="AB49" s="375"/>
      <c r="AC49" s="396"/>
      <c r="AD49" s="360"/>
      <c r="AE49" s="360"/>
      <c r="AF49" s="360"/>
      <c r="AG49" s="360"/>
      <c r="AH49" s="360"/>
      <c r="AI49" s="360"/>
    </row>
    <row r="50" spans="1:35" s="386" customFormat="1" hidden="1" x14ac:dyDescent="0.25">
      <c r="A50" s="409"/>
      <c r="B50" s="406"/>
      <c r="C50" s="406"/>
      <c r="D50" s="406"/>
      <c r="E50" s="407">
        <v>2015</v>
      </c>
      <c r="F50" s="407">
        <v>2016</v>
      </c>
      <c r="G50" s="407">
        <v>2017</v>
      </c>
      <c r="H50" s="407"/>
      <c r="I50" s="407"/>
      <c r="J50" s="407"/>
      <c r="K50" s="407"/>
      <c r="L50" s="407">
        <f>Table147[[#This Row],[Ambitious target 2030]]+Table147[[#This Row],[Ambitious target 2030]]*0.5</f>
        <v>0</v>
      </c>
      <c r="M50" s="407"/>
      <c r="N50" s="407"/>
      <c r="O50" s="407"/>
      <c r="P50" s="407"/>
      <c r="Q50" s="407">
        <f>Table147[[#This Row],[Red target]]-Table147[[#This Row],[Red target]]*0.5</f>
        <v>0</v>
      </c>
      <c r="R50" s="407"/>
      <c r="S50" s="407"/>
      <c r="T50" s="407"/>
      <c r="U50" s="407"/>
      <c r="V50" s="407"/>
      <c r="W50" s="407"/>
      <c r="X50" s="407"/>
      <c r="Y50" s="407"/>
      <c r="Z50" s="407"/>
      <c r="AA50" s="407"/>
      <c r="AB50" s="407"/>
      <c r="AC50" s="413"/>
    </row>
    <row r="51" spans="1:35" hidden="1" x14ac:dyDescent="0.25">
      <c r="A51" s="418" t="s">
        <v>942</v>
      </c>
      <c r="B51" s="437" t="s">
        <v>1067</v>
      </c>
      <c r="C51" s="437" t="s">
        <v>191</v>
      </c>
      <c r="D51" s="436" t="s">
        <v>904</v>
      </c>
      <c r="E51" s="420">
        <v>0.36919999999999997</v>
      </c>
      <c r="F51" s="420">
        <v>0.36880000000000002</v>
      </c>
      <c r="G51" s="420">
        <v>0.37130000000000002</v>
      </c>
      <c r="H51" s="421">
        <v>2015</v>
      </c>
      <c r="I51" s="421">
        <v>0.36919999999999997</v>
      </c>
      <c r="J51" s="421">
        <v>2015</v>
      </c>
      <c r="K51" s="411">
        <v>0.37740699999999999</v>
      </c>
      <c r="L51" s="411">
        <f>Table147[[#This Row],[Ambitious target 2030]]-Table147[[#This Row],[Ambitious target 2030]]*0.5</f>
        <v>0.16613999999999998</v>
      </c>
      <c r="M51" s="421">
        <f>Table147[[#This Row],[Data reference value]]+Table147[[#This Row],[Data reference value]]*Table147[[#This Row],[Ambitious target improvement rate 2030]]</f>
        <v>0.33227999999999996</v>
      </c>
      <c r="N51" s="421">
        <v>-0.1</v>
      </c>
      <c r="O51" s="421">
        <f>(Table147[[#This Row],[Ambitious target 2030]]-Table147[[#This Row],[Model reference value]])*0.5+Table147[[#This Row],[Model reference value]]</f>
        <v>0.35484349999999998</v>
      </c>
      <c r="P51" s="421"/>
      <c r="Q51" s="421">
        <f>Table147[[#This Row],[Red target]]+Table147[[#This Row],[Red target]]*0.5</f>
        <v>0.56611049999999996</v>
      </c>
      <c r="R51" s="421"/>
      <c r="S51" s="421"/>
      <c r="T51" s="421"/>
      <c r="U51" s="421"/>
      <c r="V51" s="421"/>
      <c r="W51" s="421"/>
      <c r="X51" s="421"/>
      <c r="Y51" s="421"/>
      <c r="Z51" s="421">
        <f>Table147[[#This Row],[Model reference value]]</f>
        <v>0.37740699999999999</v>
      </c>
      <c r="AA51" s="421" t="s">
        <v>1140</v>
      </c>
      <c r="AB51" s="421"/>
      <c r="AC51" s="419" t="s">
        <v>869</v>
      </c>
      <c r="AD51" s="360"/>
      <c r="AE51" s="360"/>
      <c r="AF51" s="360"/>
      <c r="AG51" s="360"/>
      <c r="AH51" s="360"/>
      <c r="AI51" s="360"/>
    </row>
    <row r="52" spans="1:35" hidden="1" x14ac:dyDescent="0.25">
      <c r="A52" s="390"/>
      <c r="B52" s="369"/>
      <c r="C52" s="369"/>
      <c r="D52" s="432" t="s">
        <v>1070</v>
      </c>
      <c r="E52" s="379"/>
      <c r="F52" s="380"/>
      <c r="G52" s="381">
        <v>93.66</v>
      </c>
      <c r="H52" s="421"/>
      <c r="I52" s="375"/>
      <c r="J52" s="375"/>
      <c r="K52" s="375"/>
      <c r="L52" s="375">
        <f>Table147[[#This Row],[Ambitious target 2030]]+Table147[[#This Row],[Ambitious target 2030]]*0.5</f>
        <v>0</v>
      </c>
      <c r="M52" s="375"/>
      <c r="N52" s="375"/>
      <c r="O52" s="375"/>
      <c r="P52" s="375"/>
      <c r="Q52" s="375">
        <f>Table147[[#This Row],[Red target]]-Table147[[#This Row],[Red target]]*0.5</f>
        <v>0</v>
      </c>
      <c r="R52" s="375"/>
      <c r="S52" s="375"/>
      <c r="T52" s="375"/>
      <c r="U52" s="375"/>
      <c r="V52" s="375"/>
      <c r="W52" s="375"/>
      <c r="X52" s="375"/>
      <c r="Y52" s="375"/>
      <c r="Z52" s="375"/>
      <c r="AA52" s="375"/>
      <c r="AB52" s="375"/>
      <c r="AC52" s="396"/>
      <c r="AD52" s="360"/>
      <c r="AE52" s="360"/>
      <c r="AF52" s="360"/>
      <c r="AG52" s="360"/>
      <c r="AH52" s="360"/>
      <c r="AI52" s="360"/>
    </row>
    <row r="53" spans="1:35" hidden="1" x14ac:dyDescent="0.25">
      <c r="A53" s="390"/>
      <c r="B53" s="369"/>
      <c r="C53" s="369"/>
      <c r="D53" s="432" t="s">
        <v>1071</v>
      </c>
      <c r="E53" s="379"/>
      <c r="F53" s="380"/>
      <c r="G53" s="381">
        <v>82.67</v>
      </c>
      <c r="H53" s="421"/>
      <c r="I53" s="375"/>
      <c r="J53" s="375"/>
      <c r="K53" s="375"/>
      <c r="L53" s="375">
        <f>Table147[[#This Row],[Ambitious target 2030]]+Table147[[#This Row],[Ambitious target 2030]]*0.5</f>
        <v>0</v>
      </c>
      <c r="M53" s="375"/>
      <c r="N53" s="375"/>
      <c r="O53" s="375"/>
      <c r="P53" s="375"/>
      <c r="Q53" s="375">
        <f>Table147[[#This Row],[Red target]]-Table147[[#This Row],[Red target]]*0.5</f>
        <v>0</v>
      </c>
      <c r="R53" s="375"/>
      <c r="S53" s="375"/>
      <c r="T53" s="375"/>
      <c r="U53" s="375"/>
      <c r="V53" s="375"/>
      <c r="W53" s="375"/>
      <c r="X53" s="375"/>
      <c r="Y53" s="375"/>
      <c r="Z53" s="375"/>
      <c r="AA53" s="375"/>
      <c r="AB53" s="375"/>
      <c r="AC53" s="396"/>
      <c r="AD53" s="360"/>
      <c r="AE53" s="360"/>
      <c r="AF53" s="360"/>
      <c r="AG53" s="360"/>
      <c r="AH53" s="360"/>
      <c r="AI53" s="360"/>
    </row>
    <row r="54" spans="1:35" hidden="1" x14ac:dyDescent="0.25">
      <c r="A54" s="390"/>
      <c r="B54" s="369"/>
      <c r="C54" s="369"/>
      <c r="D54" s="432" t="s">
        <v>1072</v>
      </c>
      <c r="E54" s="379"/>
      <c r="F54" s="380"/>
      <c r="G54" s="381">
        <v>80.760000000000005</v>
      </c>
      <c r="H54" s="421"/>
      <c r="I54" s="375"/>
      <c r="J54" s="375"/>
      <c r="K54" s="375"/>
      <c r="L54" s="375">
        <f>Table147[[#This Row],[Ambitious target 2030]]+Table147[[#This Row],[Ambitious target 2030]]*0.5</f>
        <v>0</v>
      </c>
      <c r="M54" s="375"/>
      <c r="N54" s="375"/>
      <c r="O54" s="375"/>
      <c r="P54" s="375"/>
      <c r="Q54" s="375">
        <f>Table147[[#This Row],[Red target]]-Table147[[#This Row],[Red target]]*0.5</f>
        <v>0</v>
      </c>
      <c r="R54" s="375"/>
      <c r="S54" s="375"/>
      <c r="T54" s="375"/>
      <c r="U54" s="375"/>
      <c r="V54" s="375"/>
      <c r="W54" s="375"/>
      <c r="X54" s="375"/>
      <c r="Y54" s="375"/>
      <c r="Z54" s="375"/>
      <c r="AA54" s="375"/>
      <c r="AB54" s="375"/>
      <c r="AC54" s="396"/>
      <c r="AD54" s="360"/>
      <c r="AE54" s="360"/>
      <c r="AF54" s="360"/>
      <c r="AG54" s="360"/>
      <c r="AH54" s="360"/>
      <c r="AI54" s="360"/>
    </row>
    <row r="55" spans="1:35" hidden="1" x14ac:dyDescent="0.25">
      <c r="A55" s="390"/>
      <c r="B55" s="369"/>
      <c r="C55" s="369"/>
      <c r="D55" s="432" t="s">
        <v>677</v>
      </c>
      <c r="E55" s="379"/>
      <c r="F55" s="380"/>
      <c r="G55" s="381">
        <v>80.38</v>
      </c>
      <c r="H55" s="421"/>
      <c r="I55" s="375"/>
      <c r="J55" s="375"/>
      <c r="K55" s="375"/>
      <c r="L55" s="375">
        <f>Table147[[#This Row],[Ambitious target 2030]]+Table147[[#This Row],[Ambitious target 2030]]*0.5</f>
        <v>0</v>
      </c>
      <c r="M55" s="375"/>
      <c r="N55" s="375"/>
      <c r="O55" s="375"/>
      <c r="P55" s="375"/>
      <c r="Q55" s="375">
        <f>Table147[[#This Row],[Red target]]-Table147[[#This Row],[Red target]]*0.5</f>
        <v>0</v>
      </c>
      <c r="R55" s="375"/>
      <c r="S55" s="375"/>
      <c r="T55" s="375"/>
      <c r="U55" s="375"/>
      <c r="V55" s="375"/>
      <c r="W55" s="375"/>
      <c r="X55" s="375"/>
      <c r="Y55" s="375"/>
      <c r="Z55" s="375"/>
      <c r="AA55" s="375"/>
      <c r="AB55" s="375"/>
      <c r="AC55" s="396"/>
      <c r="AD55" s="360"/>
      <c r="AE55" s="360"/>
      <c r="AF55" s="360"/>
      <c r="AG55" s="360"/>
      <c r="AH55" s="360"/>
      <c r="AI55" s="360"/>
    </row>
    <row r="56" spans="1:35" hidden="1" x14ac:dyDescent="0.25">
      <c r="A56" s="390"/>
      <c r="B56" s="369"/>
      <c r="C56" s="369"/>
      <c r="D56" s="432" t="s">
        <v>1073</v>
      </c>
      <c r="E56" s="379"/>
      <c r="F56" s="380"/>
      <c r="G56" s="381">
        <v>79.64</v>
      </c>
      <c r="H56" s="421"/>
      <c r="I56" s="375"/>
      <c r="J56" s="375"/>
      <c r="K56" s="375"/>
      <c r="L56" s="375">
        <f>Table147[[#This Row],[Ambitious target 2030]]+Table147[[#This Row],[Ambitious target 2030]]*0.5</f>
        <v>0</v>
      </c>
      <c r="M56" s="375"/>
      <c r="N56" s="375"/>
      <c r="O56" s="375"/>
      <c r="P56" s="375"/>
      <c r="Q56" s="375">
        <f>Table147[[#This Row],[Red target]]-Table147[[#This Row],[Red target]]*0.5</f>
        <v>0</v>
      </c>
      <c r="R56" s="375"/>
      <c r="S56" s="375"/>
      <c r="T56" s="375"/>
      <c r="U56" s="375"/>
      <c r="V56" s="375"/>
      <c r="W56" s="375"/>
      <c r="X56" s="375"/>
      <c r="Y56" s="375"/>
      <c r="Z56" s="375"/>
      <c r="AA56" s="375"/>
      <c r="AB56" s="375"/>
      <c r="AC56" s="396"/>
      <c r="AD56" s="360"/>
      <c r="AE56" s="360"/>
      <c r="AF56" s="360"/>
      <c r="AG56" s="360"/>
      <c r="AH56" s="360"/>
      <c r="AI56" s="360"/>
    </row>
    <row r="57" spans="1:35" hidden="1" x14ac:dyDescent="0.25">
      <c r="A57" s="390"/>
      <c r="B57" s="369"/>
      <c r="C57" s="369"/>
      <c r="D57" s="432" t="s">
        <v>1074</v>
      </c>
      <c r="E57" s="382"/>
      <c r="F57" s="383"/>
      <c r="G57" s="384">
        <v>0.39</v>
      </c>
      <c r="H57" s="421"/>
      <c r="I57" s="375"/>
      <c r="J57" s="375"/>
      <c r="K57" s="375"/>
      <c r="L57" s="375">
        <f>Table147[[#This Row],[Ambitious target 2030]]+Table147[[#This Row],[Ambitious target 2030]]*0.5</f>
        <v>0</v>
      </c>
      <c r="M57" s="375"/>
      <c r="N57" s="375"/>
      <c r="O57" s="375"/>
      <c r="P57" s="375"/>
      <c r="Q57" s="375">
        <f>Table147[[#This Row],[Red target]]-Table147[[#This Row],[Red target]]*0.5</f>
        <v>0</v>
      </c>
      <c r="R57" s="375"/>
      <c r="S57" s="375"/>
      <c r="T57" s="375"/>
      <c r="U57" s="375"/>
      <c r="V57" s="375"/>
      <c r="W57" s="375"/>
      <c r="X57" s="375"/>
      <c r="Y57" s="375"/>
      <c r="Z57" s="375"/>
      <c r="AA57" s="375"/>
      <c r="AB57" s="375"/>
      <c r="AC57" s="396"/>
      <c r="AD57" s="360"/>
      <c r="AE57" s="360"/>
      <c r="AF57" s="360"/>
      <c r="AG57" s="360"/>
      <c r="AH57" s="360"/>
      <c r="AI57" s="360"/>
    </row>
    <row r="58" spans="1:35" hidden="1" x14ac:dyDescent="0.25">
      <c r="A58" s="390"/>
      <c r="B58" s="369"/>
      <c r="C58" s="369"/>
      <c r="D58" s="432" t="s">
        <v>1075</v>
      </c>
      <c r="E58" s="382"/>
      <c r="F58" s="383"/>
      <c r="G58" s="384">
        <v>0.56000000000000005</v>
      </c>
      <c r="H58" s="421"/>
      <c r="I58" s="375"/>
      <c r="J58" s="375"/>
      <c r="K58" s="375"/>
      <c r="L58" s="375">
        <f>Table147[[#This Row],[Ambitious target 2030]]+Table147[[#This Row],[Ambitious target 2030]]*0.5</f>
        <v>0</v>
      </c>
      <c r="M58" s="375"/>
      <c r="N58" s="375"/>
      <c r="O58" s="375"/>
      <c r="P58" s="375"/>
      <c r="Q58" s="375">
        <f>Table147[[#This Row],[Red target]]-Table147[[#This Row],[Red target]]*0.5</f>
        <v>0</v>
      </c>
      <c r="R58" s="375"/>
      <c r="S58" s="375"/>
      <c r="T58" s="375"/>
      <c r="U58" s="375"/>
      <c r="V58" s="375"/>
      <c r="W58" s="375"/>
      <c r="X58" s="375"/>
      <c r="Y58" s="375"/>
      <c r="Z58" s="375"/>
      <c r="AA58" s="375"/>
      <c r="AB58" s="375"/>
      <c r="AC58" s="396"/>
      <c r="AD58" s="360"/>
      <c r="AE58" s="360"/>
      <c r="AF58" s="360"/>
      <c r="AG58" s="360"/>
      <c r="AH58" s="360"/>
      <c r="AI58" s="360"/>
    </row>
    <row r="59" spans="1:35" hidden="1" x14ac:dyDescent="0.25">
      <c r="A59" s="390"/>
      <c r="B59" s="369"/>
      <c r="C59" s="369"/>
      <c r="D59" s="432" t="s">
        <v>1076</v>
      </c>
      <c r="E59" s="382"/>
      <c r="F59" s="383"/>
      <c r="G59" s="384">
        <v>0.59</v>
      </c>
      <c r="H59" s="421"/>
      <c r="I59" s="375"/>
      <c r="J59" s="375"/>
      <c r="K59" s="375"/>
      <c r="L59" s="375">
        <f>Table147[[#This Row],[Ambitious target 2030]]+Table147[[#This Row],[Ambitious target 2030]]*0.5</f>
        <v>0</v>
      </c>
      <c r="M59" s="375"/>
      <c r="N59" s="375"/>
      <c r="O59" s="375"/>
      <c r="P59" s="375"/>
      <c r="Q59" s="375">
        <f>Table147[[#This Row],[Red target]]-Table147[[#This Row],[Red target]]*0.5</f>
        <v>0</v>
      </c>
      <c r="R59" s="375"/>
      <c r="S59" s="375"/>
      <c r="T59" s="375"/>
      <c r="U59" s="375"/>
      <c r="V59" s="375"/>
      <c r="W59" s="375"/>
      <c r="X59" s="375"/>
      <c r="Y59" s="375"/>
      <c r="Z59" s="375"/>
      <c r="AA59" s="375"/>
      <c r="AB59" s="375"/>
      <c r="AC59" s="396"/>
      <c r="AD59" s="360"/>
      <c r="AE59" s="360"/>
      <c r="AF59" s="360"/>
      <c r="AG59" s="360"/>
      <c r="AH59" s="360"/>
      <c r="AI59" s="360"/>
    </row>
    <row r="60" spans="1:35" hidden="1" x14ac:dyDescent="0.25">
      <c r="A60" s="390"/>
      <c r="B60" s="369"/>
      <c r="C60" s="369"/>
      <c r="D60" s="432" t="s">
        <v>702</v>
      </c>
      <c r="E60" s="382"/>
      <c r="F60" s="383"/>
      <c r="G60" s="384">
        <v>0.93</v>
      </c>
      <c r="H60" s="421"/>
      <c r="I60" s="375"/>
      <c r="J60" s="375"/>
      <c r="K60" s="375"/>
      <c r="L60" s="375">
        <f>Table147[[#This Row],[Ambitious target 2030]]+Table147[[#This Row],[Ambitious target 2030]]*0.5</f>
        <v>0</v>
      </c>
      <c r="M60" s="375"/>
      <c r="N60" s="375"/>
      <c r="O60" s="375"/>
      <c r="P60" s="375"/>
      <c r="Q60" s="375">
        <f>Table147[[#This Row],[Red target]]-Table147[[#This Row],[Red target]]*0.5</f>
        <v>0</v>
      </c>
      <c r="R60" s="375"/>
      <c r="S60" s="375"/>
      <c r="T60" s="375"/>
      <c r="U60" s="375"/>
      <c r="V60" s="375"/>
      <c r="W60" s="375"/>
      <c r="X60" s="375"/>
      <c r="Y60" s="375"/>
      <c r="Z60" s="375"/>
      <c r="AA60" s="375"/>
      <c r="AB60" s="375"/>
      <c r="AC60" s="396"/>
      <c r="AD60" s="360"/>
      <c r="AE60" s="360"/>
      <c r="AF60" s="360"/>
      <c r="AG60" s="360"/>
      <c r="AH60" s="360"/>
      <c r="AI60" s="360"/>
    </row>
    <row r="61" spans="1:35" hidden="1" x14ac:dyDescent="0.25">
      <c r="A61" s="390"/>
      <c r="B61" s="369"/>
      <c r="C61" s="369"/>
      <c r="D61" s="432" t="s">
        <v>1077</v>
      </c>
      <c r="E61" s="382"/>
      <c r="F61" s="383"/>
      <c r="G61" s="384">
        <v>1.05</v>
      </c>
      <c r="H61" s="421"/>
      <c r="I61" s="375"/>
      <c r="J61" s="375"/>
      <c r="K61" s="375"/>
      <c r="L61" s="375">
        <f>Table147[[#This Row],[Ambitious target 2030]]+Table147[[#This Row],[Ambitious target 2030]]*0.5</f>
        <v>0</v>
      </c>
      <c r="M61" s="375"/>
      <c r="N61" s="375"/>
      <c r="O61" s="375"/>
      <c r="P61" s="375"/>
      <c r="Q61" s="375">
        <f>Table147[[#This Row],[Red target]]-Table147[[#This Row],[Red target]]*0.5</f>
        <v>0</v>
      </c>
      <c r="R61" s="375"/>
      <c r="S61" s="375"/>
      <c r="T61" s="375"/>
      <c r="U61" s="375"/>
      <c r="V61" s="375"/>
      <c r="W61" s="375"/>
      <c r="X61" s="375"/>
      <c r="Y61" s="375"/>
      <c r="Z61" s="375"/>
      <c r="AA61" s="375"/>
      <c r="AB61" s="375"/>
      <c r="AC61" s="396"/>
      <c r="AD61" s="360"/>
      <c r="AE61" s="360"/>
      <c r="AF61" s="360"/>
      <c r="AG61" s="360"/>
      <c r="AH61" s="360"/>
      <c r="AI61" s="360"/>
    </row>
    <row r="62" spans="1:35" s="387" customFormat="1" hidden="1" x14ac:dyDescent="0.25">
      <c r="A62" s="410"/>
      <c r="B62" s="415"/>
      <c r="C62" s="415"/>
      <c r="D62" s="415"/>
      <c r="E62" s="417">
        <v>2005</v>
      </c>
      <c r="F62" s="417">
        <v>2010</v>
      </c>
      <c r="G62" s="417">
        <v>2020</v>
      </c>
      <c r="H62" s="417"/>
      <c r="I62" s="417"/>
      <c r="J62" s="417"/>
      <c r="K62" s="417"/>
      <c r="L62" s="417">
        <f>Table147[[#This Row],[Ambitious target 2030]]+Table147[[#This Row],[Ambitious target 2030]]*0.5</f>
        <v>0</v>
      </c>
      <c r="M62" s="417"/>
      <c r="N62" s="417"/>
      <c r="O62" s="417"/>
      <c r="P62" s="417"/>
      <c r="Q62" s="417">
        <f>Table147[[#This Row],[Red target]]-Table147[[#This Row],[Red target]]*0.5</f>
        <v>0</v>
      </c>
      <c r="R62" s="417"/>
      <c r="S62" s="417"/>
      <c r="T62" s="417"/>
      <c r="U62" s="417"/>
      <c r="V62" s="417"/>
      <c r="W62" s="417"/>
      <c r="X62" s="417"/>
      <c r="Y62" s="417"/>
      <c r="Z62" s="417"/>
      <c r="AA62" s="417"/>
      <c r="AB62" s="417"/>
      <c r="AC62" s="412"/>
    </row>
    <row r="63" spans="1:35" s="362" customFormat="1" hidden="1" x14ac:dyDescent="0.25">
      <c r="A63" s="422" t="s">
        <v>967</v>
      </c>
      <c r="B63" s="436" t="s">
        <v>29</v>
      </c>
      <c r="C63" s="436" t="s">
        <v>965</v>
      </c>
      <c r="D63" s="436" t="s">
        <v>1083</v>
      </c>
      <c r="E63" s="420">
        <v>3425.59</v>
      </c>
      <c r="F63" s="420">
        <v>3417.4110000000001</v>
      </c>
      <c r="G63" s="420">
        <v>3419.1779999999999</v>
      </c>
      <c r="H63" s="421">
        <v>2020</v>
      </c>
      <c r="I63" s="421">
        <v>3419.1779999999999</v>
      </c>
      <c r="J63" s="421">
        <v>2015</v>
      </c>
      <c r="K63" s="411">
        <v>3355.47</v>
      </c>
      <c r="L63" s="411">
        <f>Table147[[#This Row],[Ambitious target 2030]]+Table147[[#This Row],[Ambitious target 2030]]*0.5</f>
        <v>4615.8902999999991</v>
      </c>
      <c r="M63" s="421">
        <f>Table147[[#This Row],[Data reference value]]+Table147[[#This Row],[Data reference value]]*Table147[[#This Row],[Ambitious target improvement rate 2030]]</f>
        <v>3077.2601999999997</v>
      </c>
      <c r="N63" s="421">
        <v>-0.1</v>
      </c>
      <c r="O63" s="421">
        <f>(Table147[[#This Row],[Ambitious target 2030]]-Table147[[#This Row],[Model reference value]])*0.5+Table147[[#This Row],[Model reference value]]</f>
        <v>3216.3651</v>
      </c>
      <c r="P63" s="421"/>
      <c r="Q63" s="421">
        <f>Table147[[#This Row],[Red target]]-Table147[[#This Row],[Red target]]*0.5</f>
        <v>1677.7349999999999</v>
      </c>
      <c r="R63" s="421"/>
      <c r="S63" s="421"/>
      <c r="T63" s="421"/>
      <c r="U63" s="421"/>
      <c r="V63" s="421"/>
      <c r="W63" s="421"/>
      <c r="X63" s="421"/>
      <c r="Y63" s="421"/>
      <c r="Z63" s="421">
        <f>Table147[[#This Row],[Model reference value]]</f>
        <v>3355.47</v>
      </c>
      <c r="AA63" s="421" t="s">
        <v>1140</v>
      </c>
      <c r="AB63" s="421" t="s">
        <v>1120</v>
      </c>
      <c r="AC63" s="419" t="s">
        <v>979</v>
      </c>
    </row>
    <row r="64" spans="1:35" s="362" customFormat="1" hidden="1" x14ac:dyDescent="0.25">
      <c r="A64" s="389"/>
      <c r="B64" s="372"/>
      <c r="C64" s="372"/>
      <c r="D64" s="372"/>
      <c r="E64" s="379"/>
      <c r="F64" s="380"/>
      <c r="G64" s="381"/>
      <c r="H64" s="421"/>
      <c r="I64" s="375"/>
      <c r="J64" s="375"/>
      <c r="K64" s="375"/>
      <c r="L64" s="375">
        <f>Table147[[#This Row],[Ambitious target 2030]]+Table147[[#This Row],[Ambitious target 2030]]*0.5</f>
        <v>0</v>
      </c>
      <c r="M64" s="375"/>
      <c r="N64" s="375"/>
      <c r="O64" s="375"/>
      <c r="P64" s="375"/>
      <c r="Q64" s="375">
        <f>Table147[[#This Row],[Red target]]-Table147[[#This Row],[Red target]]*0.5</f>
        <v>0</v>
      </c>
      <c r="R64" s="375"/>
      <c r="S64" s="375"/>
      <c r="T64" s="375"/>
      <c r="U64" s="375"/>
      <c r="V64" s="375"/>
      <c r="W64" s="375"/>
      <c r="X64" s="375"/>
      <c r="Y64" s="375"/>
      <c r="Z64" s="375"/>
      <c r="AA64" s="375"/>
      <c r="AB64" s="375"/>
      <c r="AC64" s="399"/>
    </row>
    <row r="65" spans="1:29" s="362" customFormat="1" hidden="1" x14ac:dyDescent="0.25">
      <c r="A65" s="389"/>
      <c r="B65" s="372"/>
      <c r="C65" s="372"/>
      <c r="D65" s="372"/>
      <c r="E65" s="379"/>
      <c r="F65" s="380"/>
      <c r="G65" s="381"/>
      <c r="H65" s="421"/>
      <c r="I65" s="375"/>
      <c r="J65" s="375"/>
      <c r="K65" s="375"/>
      <c r="L65" s="375">
        <f>Table147[[#This Row],[Ambitious target 2030]]+Table147[[#This Row],[Ambitious target 2030]]*0.5</f>
        <v>0</v>
      </c>
      <c r="M65" s="375"/>
      <c r="N65" s="375"/>
      <c r="O65" s="375"/>
      <c r="P65" s="375"/>
      <c r="Q65" s="375">
        <f>Table147[[#This Row],[Red target]]-Table147[[#This Row],[Red target]]*0.5</f>
        <v>0</v>
      </c>
      <c r="R65" s="375"/>
      <c r="S65" s="375"/>
      <c r="T65" s="375"/>
      <c r="U65" s="375"/>
      <c r="V65" s="375"/>
      <c r="W65" s="375"/>
      <c r="X65" s="375"/>
      <c r="Y65" s="375"/>
      <c r="Z65" s="375"/>
      <c r="AA65" s="375"/>
      <c r="AB65" s="375"/>
      <c r="AC65" s="399"/>
    </row>
    <row r="66" spans="1:29" s="362" customFormat="1" hidden="1" x14ac:dyDescent="0.25">
      <c r="A66" s="389"/>
      <c r="B66" s="372"/>
      <c r="C66" s="372"/>
      <c r="D66" s="372"/>
      <c r="E66" s="379"/>
      <c r="F66" s="380"/>
      <c r="G66" s="381"/>
      <c r="H66" s="421"/>
      <c r="I66" s="375"/>
      <c r="J66" s="375"/>
      <c r="K66" s="375"/>
      <c r="L66" s="375">
        <f>Table147[[#This Row],[Ambitious target 2030]]+Table147[[#This Row],[Ambitious target 2030]]*0.5</f>
        <v>0</v>
      </c>
      <c r="M66" s="375"/>
      <c r="N66" s="375"/>
      <c r="O66" s="375"/>
      <c r="P66" s="375"/>
      <c r="Q66" s="375">
        <f>Table147[[#This Row],[Red target]]-Table147[[#This Row],[Red target]]*0.5</f>
        <v>0</v>
      </c>
      <c r="R66" s="375"/>
      <c r="S66" s="375"/>
      <c r="T66" s="375"/>
      <c r="U66" s="375"/>
      <c r="V66" s="375"/>
      <c r="W66" s="375"/>
      <c r="X66" s="375"/>
      <c r="Y66" s="375"/>
      <c r="Z66" s="375"/>
      <c r="AA66" s="375"/>
      <c r="AB66" s="375"/>
      <c r="AC66" s="399"/>
    </row>
    <row r="67" spans="1:29" s="362" customFormat="1" hidden="1" x14ac:dyDescent="0.25">
      <c r="A67" s="389"/>
      <c r="B67" s="372"/>
      <c r="C67" s="372"/>
      <c r="D67" s="372"/>
      <c r="E67" s="379"/>
      <c r="F67" s="380"/>
      <c r="G67" s="381"/>
      <c r="H67" s="421"/>
      <c r="I67" s="375"/>
      <c r="J67" s="375"/>
      <c r="K67" s="375"/>
      <c r="L67" s="431">
        <f>Table147[[#This Row],[Ambitious target 2030]]+Table147[[#This Row],[Ambitious target 2030]]*0.5</f>
        <v>0</v>
      </c>
      <c r="M67" s="375"/>
      <c r="N67" s="375"/>
      <c r="O67" s="431"/>
      <c r="P67" s="431"/>
      <c r="Q67" s="431">
        <f>Table147[[#This Row],[Red target]]-Table147[[#This Row],[Red target]]*0.5</f>
        <v>0</v>
      </c>
      <c r="R67" s="431"/>
      <c r="S67" s="431"/>
      <c r="T67" s="431"/>
      <c r="U67" s="431"/>
      <c r="V67" s="431"/>
      <c r="W67" s="431"/>
      <c r="X67" s="431"/>
      <c r="Y67" s="431"/>
      <c r="Z67" s="431"/>
      <c r="AA67" s="375"/>
      <c r="AB67" s="375"/>
      <c r="AC67" s="399"/>
    </row>
    <row r="68" spans="1:29" s="362" customFormat="1" hidden="1" x14ac:dyDescent="0.25">
      <c r="A68" s="389"/>
      <c r="B68" s="372"/>
      <c r="C68" s="372"/>
      <c r="D68" s="372"/>
      <c r="E68" s="379"/>
      <c r="F68" s="380"/>
      <c r="G68" s="381"/>
      <c r="H68" s="421"/>
      <c r="I68" s="375"/>
      <c r="J68" s="375"/>
      <c r="K68" s="375"/>
      <c r="L68" s="431">
        <f>Table147[[#This Row],[Ambitious target 2030]]+Table147[[#This Row],[Ambitious target 2030]]*0.5</f>
        <v>0</v>
      </c>
      <c r="M68" s="375"/>
      <c r="N68" s="375"/>
      <c r="O68" s="431"/>
      <c r="P68" s="431"/>
      <c r="Q68" s="431">
        <f>Table147[[#This Row],[Red target]]-Table147[[#This Row],[Red target]]*0.5</f>
        <v>0</v>
      </c>
      <c r="R68" s="431"/>
      <c r="S68" s="431"/>
      <c r="T68" s="431"/>
      <c r="U68" s="431"/>
      <c r="V68" s="431"/>
      <c r="W68" s="431"/>
      <c r="X68" s="431"/>
      <c r="Y68" s="431"/>
      <c r="Z68" s="431"/>
      <c r="AA68" s="375"/>
      <c r="AB68" s="375"/>
      <c r="AC68" s="399"/>
    </row>
    <row r="69" spans="1:29" s="362" customFormat="1" hidden="1" x14ac:dyDescent="0.25">
      <c r="A69" s="389"/>
      <c r="B69" s="372"/>
      <c r="C69" s="372"/>
      <c r="D69" s="372"/>
      <c r="E69" s="382"/>
      <c r="F69" s="383"/>
      <c r="G69" s="384"/>
      <c r="H69" s="421"/>
      <c r="I69" s="375"/>
      <c r="J69" s="375"/>
      <c r="K69" s="375"/>
      <c r="L69" s="375">
        <f>Table147[[#This Row],[Ambitious target 2030]]+Table147[[#This Row],[Ambitious target 2030]]*0.5</f>
        <v>0</v>
      </c>
      <c r="M69" s="375"/>
      <c r="N69" s="375"/>
      <c r="O69" s="375"/>
      <c r="P69" s="375"/>
      <c r="Q69" s="375">
        <f>Table147[[#This Row],[Red target]]-Table147[[#This Row],[Red target]]*0.5</f>
        <v>0</v>
      </c>
      <c r="R69" s="375"/>
      <c r="S69" s="375"/>
      <c r="T69" s="375"/>
      <c r="U69" s="375"/>
      <c r="V69" s="375"/>
      <c r="W69" s="375"/>
      <c r="X69" s="375"/>
      <c r="Y69" s="375"/>
      <c r="Z69" s="375"/>
      <c r="AA69" s="375"/>
      <c r="AB69" s="375"/>
      <c r="AC69" s="399"/>
    </row>
    <row r="70" spans="1:29" s="362" customFormat="1" hidden="1" x14ac:dyDescent="0.25">
      <c r="A70" s="389"/>
      <c r="B70" s="372"/>
      <c r="C70" s="372"/>
      <c r="D70" s="372"/>
      <c r="E70" s="382"/>
      <c r="F70" s="383"/>
      <c r="G70" s="384"/>
      <c r="H70" s="421"/>
      <c r="I70" s="375"/>
      <c r="J70" s="375"/>
      <c r="K70" s="375"/>
      <c r="L70" s="375">
        <f>Table147[[#This Row],[Ambitious target 2030]]+Table147[[#This Row],[Ambitious target 2030]]*0.5</f>
        <v>0</v>
      </c>
      <c r="M70" s="375"/>
      <c r="N70" s="375"/>
      <c r="O70" s="375"/>
      <c r="P70" s="375"/>
      <c r="Q70" s="375">
        <f>Table147[[#This Row],[Red target]]-Table147[[#This Row],[Red target]]*0.5</f>
        <v>0</v>
      </c>
      <c r="R70" s="375"/>
      <c r="S70" s="375"/>
      <c r="T70" s="375"/>
      <c r="U70" s="375"/>
      <c r="V70" s="375"/>
      <c r="W70" s="375"/>
      <c r="X70" s="375"/>
      <c r="Y70" s="375"/>
      <c r="Z70" s="375"/>
      <c r="AA70" s="375"/>
      <c r="AB70" s="375"/>
      <c r="AC70" s="399"/>
    </row>
    <row r="71" spans="1:29" s="362" customFormat="1" hidden="1" x14ac:dyDescent="0.25">
      <c r="A71" s="389"/>
      <c r="B71" s="372"/>
      <c r="C71" s="372"/>
      <c r="D71" s="372"/>
      <c r="E71" s="382"/>
      <c r="F71" s="383"/>
      <c r="G71" s="384"/>
      <c r="H71" s="421"/>
      <c r="I71" s="375"/>
      <c r="J71" s="375"/>
      <c r="K71" s="375"/>
      <c r="L71" s="431">
        <f>Table147[[#This Row],[Ambitious target 2030]]+Table147[[#This Row],[Ambitious target 2030]]*0.5</f>
        <v>0</v>
      </c>
      <c r="M71" s="375"/>
      <c r="N71" s="375"/>
      <c r="O71" s="431"/>
      <c r="P71" s="431"/>
      <c r="Q71" s="431">
        <f>Table147[[#This Row],[Red target]]-Table147[[#This Row],[Red target]]*0.5</f>
        <v>0</v>
      </c>
      <c r="R71" s="431"/>
      <c r="S71" s="431"/>
      <c r="T71" s="431"/>
      <c r="U71" s="431"/>
      <c r="V71" s="431"/>
      <c r="W71" s="431"/>
      <c r="X71" s="431"/>
      <c r="Y71" s="431"/>
      <c r="Z71" s="431"/>
      <c r="AA71" s="375"/>
      <c r="AB71" s="375"/>
      <c r="AC71" s="399"/>
    </row>
    <row r="72" spans="1:29" s="362" customFormat="1" hidden="1" x14ac:dyDescent="0.25">
      <c r="A72" s="389"/>
      <c r="B72" s="372"/>
      <c r="C72" s="372"/>
      <c r="D72" s="372"/>
      <c r="E72" s="382"/>
      <c r="F72" s="383"/>
      <c r="G72" s="384"/>
      <c r="H72" s="421"/>
      <c r="I72" s="375"/>
      <c r="J72" s="375"/>
      <c r="K72" s="375"/>
      <c r="L72" s="431">
        <f>Table147[[#This Row],[Ambitious target 2030]]+Table147[[#This Row],[Ambitious target 2030]]*0.5</f>
        <v>0</v>
      </c>
      <c r="M72" s="375"/>
      <c r="N72" s="375"/>
      <c r="O72" s="431"/>
      <c r="P72" s="431"/>
      <c r="Q72" s="431">
        <f>Table147[[#This Row],[Red target]]-Table147[[#This Row],[Red target]]*0.5</f>
        <v>0</v>
      </c>
      <c r="R72" s="431"/>
      <c r="S72" s="431"/>
      <c r="T72" s="431"/>
      <c r="U72" s="431"/>
      <c r="V72" s="431"/>
      <c r="W72" s="431"/>
      <c r="X72" s="431"/>
      <c r="Y72" s="431"/>
      <c r="Z72" s="431"/>
      <c r="AA72" s="375"/>
      <c r="AB72" s="375"/>
      <c r="AC72" s="399"/>
    </row>
    <row r="73" spans="1:29" s="362" customFormat="1" hidden="1" x14ac:dyDescent="0.25">
      <c r="A73" s="389"/>
      <c r="B73" s="372"/>
      <c r="C73" s="372"/>
      <c r="D73" s="372"/>
      <c r="E73" s="382"/>
      <c r="F73" s="383"/>
      <c r="G73" s="384"/>
      <c r="H73" s="421"/>
      <c r="I73" s="375"/>
      <c r="J73" s="375"/>
      <c r="K73" s="375"/>
      <c r="L73" s="431">
        <f>Table147[[#This Row],[Ambitious target 2030]]+Table147[[#This Row],[Ambitious target 2030]]*0.5</f>
        <v>0</v>
      </c>
      <c r="M73" s="375"/>
      <c r="N73" s="375"/>
      <c r="O73" s="431"/>
      <c r="P73" s="431"/>
      <c r="Q73" s="431">
        <f>Table147[[#This Row],[Red target]]-Table147[[#This Row],[Red target]]*0.5</f>
        <v>0</v>
      </c>
      <c r="R73" s="431"/>
      <c r="S73" s="431"/>
      <c r="T73" s="431"/>
      <c r="U73" s="431"/>
      <c r="V73" s="431"/>
      <c r="W73" s="431"/>
      <c r="X73" s="431"/>
      <c r="Y73" s="431"/>
      <c r="Z73" s="431"/>
      <c r="AA73" s="375"/>
      <c r="AB73" s="375"/>
      <c r="AC73" s="399"/>
    </row>
    <row r="74" spans="1:29" s="387" customFormat="1" hidden="1" x14ac:dyDescent="0.25">
      <c r="A74" s="410"/>
      <c r="B74" s="415"/>
      <c r="C74" s="415"/>
      <c r="D74" s="415"/>
      <c r="E74" s="417">
        <v>2005</v>
      </c>
      <c r="F74" s="417">
        <v>2010</v>
      </c>
      <c r="G74" s="417">
        <v>2020</v>
      </c>
      <c r="H74" s="417"/>
      <c r="I74" s="417"/>
      <c r="J74" s="417"/>
      <c r="K74" s="417"/>
      <c r="L74" s="417">
        <f>Table147[[#This Row],[Ambitious target 2030]]+Table147[[#This Row],[Ambitious target 2030]]*0.5</f>
        <v>0</v>
      </c>
      <c r="M74" s="417"/>
      <c r="N74" s="417"/>
      <c r="O74" s="417"/>
      <c r="P74" s="417"/>
      <c r="Q74" s="417">
        <f>Table147[[#This Row],[Red target]]-Table147[[#This Row],[Red target]]*0.5</f>
        <v>0</v>
      </c>
      <c r="R74" s="417"/>
      <c r="S74" s="417"/>
      <c r="T74" s="417"/>
      <c r="U74" s="417"/>
      <c r="V74" s="417"/>
      <c r="W74" s="417"/>
      <c r="X74" s="417"/>
      <c r="Y74" s="417"/>
      <c r="Z74" s="417"/>
      <c r="AA74" s="417"/>
      <c r="AB74" s="417"/>
      <c r="AC74" s="412"/>
    </row>
    <row r="75" spans="1:29" s="362" customFormat="1" hidden="1" x14ac:dyDescent="0.25">
      <c r="A75" s="418" t="s">
        <v>968</v>
      </c>
      <c r="B75" s="436" t="s">
        <v>27</v>
      </c>
      <c r="C75" s="437" t="s">
        <v>965</v>
      </c>
      <c r="D75" s="436" t="s">
        <v>1083</v>
      </c>
      <c r="E75" s="420">
        <v>1536.067</v>
      </c>
      <c r="F75" s="420">
        <v>1546.1590000000001</v>
      </c>
      <c r="G75" s="420">
        <v>1618.385</v>
      </c>
      <c r="H75" s="421">
        <v>2020</v>
      </c>
      <c r="I75" s="421">
        <v>1618.385</v>
      </c>
      <c r="J75" s="421">
        <v>2015</v>
      </c>
      <c r="K75" s="411">
        <v>1514.59</v>
      </c>
      <c r="L75" s="411">
        <f>Table147[[#This Row],[Ambitious target 2030]]+Table147[[#This Row],[Ambitious target 2030]]*0.5</f>
        <v>2184.8197499999997</v>
      </c>
      <c r="M75" s="421">
        <f>Table147[[#This Row],[Data reference value]]+Table147[[#This Row],[Data reference value]]*Table147[[#This Row],[Ambitious target improvement rate 2030]]</f>
        <v>1456.5464999999999</v>
      </c>
      <c r="N75" s="421">
        <v>-0.1</v>
      </c>
      <c r="O75" s="421">
        <f>(Table147[[#This Row],[Ambitious target 2030]]-Table147[[#This Row],[Model reference value]])*0.5+Table147[[#This Row],[Model reference value]]</f>
        <v>1485.5682499999998</v>
      </c>
      <c r="P75" s="421"/>
      <c r="Q75" s="421">
        <f>Table147[[#This Row],[Red target]]-Table147[[#This Row],[Red target]]*0.5</f>
        <v>757.29499999999996</v>
      </c>
      <c r="R75" s="421"/>
      <c r="S75" s="421"/>
      <c r="T75" s="421"/>
      <c r="U75" s="421"/>
      <c r="V75" s="421"/>
      <c r="W75" s="421"/>
      <c r="X75" s="421"/>
      <c r="Y75" s="421"/>
      <c r="Z75" s="421">
        <f>Table147[[#This Row],[Model reference value]]</f>
        <v>1514.59</v>
      </c>
      <c r="AA75" s="421" t="s">
        <v>1140</v>
      </c>
      <c r="AB75" s="421" t="s">
        <v>1120</v>
      </c>
      <c r="AC75" s="419" t="s">
        <v>979</v>
      </c>
    </row>
    <row r="76" spans="1:29" s="362" customFormat="1" hidden="1" x14ac:dyDescent="0.25">
      <c r="A76" s="389"/>
      <c r="B76" s="372"/>
      <c r="C76" s="372"/>
      <c r="D76" s="372"/>
      <c r="E76" s="379"/>
      <c r="F76" s="380"/>
      <c r="G76" s="381"/>
      <c r="H76" s="421"/>
      <c r="I76" s="375"/>
      <c r="J76" s="375"/>
      <c r="K76" s="375"/>
      <c r="L76" s="375">
        <f>Table147[[#This Row],[Ambitious target 2030]]+Table147[[#This Row],[Ambitious target 2030]]*0.5</f>
        <v>0</v>
      </c>
      <c r="M76" s="375"/>
      <c r="N76" s="375"/>
      <c r="O76" s="375"/>
      <c r="P76" s="375"/>
      <c r="Q76" s="375">
        <f>Table147[[#This Row],[Red target]]-Table147[[#This Row],[Red target]]*0.5</f>
        <v>0</v>
      </c>
      <c r="R76" s="375"/>
      <c r="S76" s="375"/>
      <c r="T76" s="375"/>
      <c r="U76" s="375"/>
      <c r="V76" s="375"/>
      <c r="W76" s="375"/>
      <c r="X76" s="375"/>
      <c r="Y76" s="375"/>
      <c r="Z76" s="375"/>
      <c r="AA76" s="375"/>
      <c r="AB76" s="375"/>
      <c r="AC76" s="399"/>
    </row>
    <row r="77" spans="1:29" s="362" customFormat="1" hidden="1" x14ac:dyDescent="0.25">
      <c r="A77" s="389"/>
      <c r="B77" s="372"/>
      <c r="C77" s="372"/>
      <c r="D77" s="372"/>
      <c r="E77" s="379"/>
      <c r="F77" s="380"/>
      <c r="G77" s="381"/>
      <c r="H77" s="421"/>
      <c r="I77" s="375"/>
      <c r="J77" s="375"/>
      <c r="K77" s="375"/>
      <c r="L77" s="375">
        <f>Table147[[#This Row],[Ambitious target 2030]]+Table147[[#This Row],[Ambitious target 2030]]*0.5</f>
        <v>0</v>
      </c>
      <c r="M77" s="375"/>
      <c r="N77" s="375"/>
      <c r="O77" s="375"/>
      <c r="P77" s="375"/>
      <c r="Q77" s="375">
        <f>Table147[[#This Row],[Red target]]-Table147[[#This Row],[Red target]]*0.5</f>
        <v>0</v>
      </c>
      <c r="R77" s="375"/>
      <c r="S77" s="375"/>
      <c r="T77" s="375"/>
      <c r="U77" s="375"/>
      <c r="V77" s="375"/>
      <c r="W77" s="375"/>
      <c r="X77" s="375"/>
      <c r="Y77" s="375"/>
      <c r="Z77" s="375"/>
      <c r="AA77" s="375"/>
      <c r="AB77" s="375"/>
      <c r="AC77" s="399"/>
    </row>
    <row r="78" spans="1:29" s="362" customFormat="1" hidden="1" x14ac:dyDescent="0.25">
      <c r="A78" s="389"/>
      <c r="B78" s="372"/>
      <c r="C78" s="372"/>
      <c r="D78" s="372"/>
      <c r="E78" s="379"/>
      <c r="F78" s="380"/>
      <c r="G78" s="381"/>
      <c r="H78" s="421"/>
      <c r="I78" s="375"/>
      <c r="J78" s="375"/>
      <c r="K78" s="375"/>
      <c r="L78" s="375">
        <f>Table147[[#This Row],[Ambitious target 2030]]+Table147[[#This Row],[Ambitious target 2030]]*0.5</f>
        <v>0</v>
      </c>
      <c r="M78" s="375"/>
      <c r="N78" s="375"/>
      <c r="O78" s="375"/>
      <c r="P78" s="375"/>
      <c r="Q78" s="375">
        <f>Table147[[#This Row],[Red target]]-Table147[[#This Row],[Red target]]*0.5</f>
        <v>0</v>
      </c>
      <c r="R78" s="375"/>
      <c r="S78" s="375"/>
      <c r="T78" s="375"/>
      <c r="U78" s="375"/>
      <c r="V78" s="375"/>
      <c r="W78" s="375"/>
      <c r="X78" s="375"/>
      <c r="Y78" s="375"/>
      <c r="Z78" s="375"/>
      <c r="AA78" s="375"/>
      <c r="AB78" s="375"/>
      <c r="AC78" s="399"/>
    </row>
    <row r="79" spans="1:29" s="362" customFormat="1" hidden="1" x14ac:dyDescent="0.25">
      <c r="A79" s="389"/>
      <c r="B79" s="372"/>
      <c r="C79" s="372"/>
      <c r="D79" s="372"/>
      <c r="E79" s="379"/>
      <c r="F79" s="380"/>
      <c r="G79" s="381"/>
      <c r="H79" s="421"/>
      <c r="I79" s="375"/>
      <c r="J79" s="375"/>
      <c r="K79" s="375"/>
      <c r="L79" s="431">
        <f>Table147[[#This Row],[Ambitious target 2030]]+Table147[[#This Row],[Ambitious target 2030]]*0.5</f>
        <v>0</v>
      </c>
      <c r="M79" s="375"/>
      <c r="N79" s="375"/>
      <c r="O79" s="431"/>
      <c r="P79" s="431"/>
      <c r="Q79" s="431">
        <f>Table147[[#This Row],[Red target]]-Table147[[#This Row],[Red target]]*0.5</f>
        <v>0</v>
      </c>
      <c r="R79" s="431"/>
      <c r="S79" s="431"/>
      <c r="T79" s="431"/>
      <c r="U79" s="431"/>
      <c r="V79" s="431"/>
      <c r="W79" s="431"/>
      <c r="X79" s="431"/>
      <c r="Y79" s="431"/>
      <c r="Z79" s="431"/>
      <c r="AA79" s="375"/>
      <c r="AB79" s="375"/>
      <c r="AC79" s="399"/>
    </row>
    <row r="80" spans="1:29" s="362" customFormat="1" hidden="1" x14ac:dyDescent="0.25">
      <c r="A80" s="389"/>
      <c r="B80" s="372"/>
      <c r="C80" s="372"/>
      <c r="D80" s="372"/>
      <c r="E80" s="379"/>
      <c r="F80" s="380"/>
      <c r="G80" s="381"/>
      <c r="H80" s="421"/>
      <c r="I80" s="375"/>
      <c r="J80" s="375"/>
      <c r="K80" s="375"/>
      <c r="L80" s="431">
        <f>Table147[[#This Row],[Ambitious target 2030]]+Table147[[#This Row],[Ambitious target 2030]]*0.5</f>
        <v>0</v>
      </c>
      <c r="M80" s="375"/>
      <c r="N80" s="375"/>
      <c r="O80" s="431"/>
      <c r="P80" s="431"/>
      <c r="Q80" s="431">
        <f>Table147[[#This Row],[Red target]]-Table147[[#This Row],[Red target]]*0.5</f>
        <v>0</v>
      </c>
      <c r="R80" s="431"/>
      <c r="S80" s="431"/>
      <c r="T80" s="431"/>
      <c r="U80" s="431"/>
      <c r="V80" s="431"/>
      <c r="W80" s="431"/>
      <c r="X80" s="431"/>
      <c r="Y80" s="431"/>
      <c r="Z80" s="431"/>
      <c r="AA80" s="375"/>
      <c r="AB80" s="375"/>
      <c r="AC80" s="399"/>
    </row>
    <row r="81" spans="1:35" s="362" customFormat="1" hidden="1" x14ac:dyDescent="0.25">
      <c r="A81" s="389"/>
      <c r="B81" s="372"/>
      <c r="C81" s="372"/>
      <c r="D81" s="372"/>
      <c r="E81" s="382"/>
      <c r="F81" s="383"/>
      <c r="G81" s="384"/>
      <c r="H81" s="421"/>
      <c r="I81" s="375"/>
      <c r="J81" s="375"/>
      <c r="K81" s="375"/>
      <c r="L81" s="375">
        <f>Table147[[#This Row],[Ambitious target 2030]]+Table147[[#This Row],[Ambitious target 2030]]*0.5</f>
        <v>0</v>
      </c>
      <c r="M81" s="375"/>
      <c r="N81" s="375"/>
      <c r="O81" s="375"/>
      <c r="P81" s="375"/>
      <c r="Q81" s="375">
        <f>Table147[[#This Row],[Red target]]-Table147[[#This Row],[Red target]]*0.5</f>
        <v>0</v>
      </c>
      <c r="R81" s="375"/>
      <c r="S81" s="375"/>
      <c r="T81" s="375"/>
      <c r="U81" s="375"/>
      <c r="V81" s="375"/>
      <c r="W81" s="375"/>
      <c r="X81" s="375"/>
      <c r="Y81" s="375"/>
      <c r="Z81" s="375"/>
      <c r="AA81" s="375"/>
      <c r="AB81" s="375"/>
      <c r="AC81" s="399"/>
    </row>
    <row r="82" spans="1:35" s="362" customFormat="1" hidden="1" x14ac:dyDescent="0.25">
      <c r="A82" s="389"/>
      <c r="B82" s="372"/>
      <c r="C82" s="372"/>
      <c r="D82" s="372"/>
      <c r="E82" s="382"/>
      <c r="F82" s="383"/>
      <c r="G82" s="384"/>
      <c r="H82" s="421"/>
      <c r="I82" s="375"/>
      <c r="J82" s="375"/>
      <c r="K82" s="375"/>
      <c r="L82" s="375">
        <f>Table147[[#This Row],[Ambitious target 2030]]+Table147[[#This Row],[Ambitious target 2030]]*0.5</f>
        <v>0</v>
      </c>
      <c r="M82" s="375"/>
      <c r="N82" s="375"/>
      <c r="O82" s="375"/>
      <c r="P82" s="375"/>
      <c r="Q82" s="375">
        <f>Table147[[#This Row],[Red target]]-Table147[[#This Row],[Red target]]*0.5</f>
        <v>0</v>
      </c>
      <c r="R82" s="375"/>
      <c r="S82" s="375"/>
      <c r="T82" s="375"/>
      <c r="U82" s="375"/>
      <c r="V82" s="375"/>
      <c r="W82" s="375"/>
      <c r="X82" s="375"/>
      <c r="Y82" s="375"/>
      <c r="Z82" s="375"/>
      <c r="AA82" s="375"/>
      <c r="AB82" s="375"/>
      <c r="AC82" s="399"/>
    </row>
    <row r="83" spans="1:35" s="362" customFormat="1" hidden="1" x14ac:dyDescent="0.25">
      <c r="A83" s="389"/>
      <c r="B83" s="372"/>
      <c r="C83" s="372"/>
      <c r="D83" s="372"/>
      <c r="E83" s="382"/>
      <c r="F83" s="383"/>
      <c r="G83" s="384"/>
      <c r="H83" s="421"/>
      <c r="I83" s="375"/>
      <c r="J83" s="375"/>
      <c r="K83" s="375"/>
      <c r="L83" s="431">
        <f>Table147[[#This Row],[Ambitious target 2030]]+Table147[[#This Row],[Ambitious target 2030]]*0.5</f>
        <v>0</v>
      </c>
      <c r="M83" s="375"/>
      <c r="N83" s="375"/>
      <c r="O83" s="431"/>
      <c r="P83" s="431"/>
      <c r="Q83" s="431">
        <f>Table147[[#This Row],[Red target]]-Table147[[#This Row],[Red target]]*0.5</f>
        <v>0</v>
      </c>
      <c r="R83" s="431"/>
      <c r="S83" s="431"/>
      <c r="T83" s="431"/>
      <c r="U83" s="431"/>
      <c r="V83" s="431"/>
      <c r="W83" s="431"/>
      <c r="X83" s="431"/>
      <c r="Y83" s="431"/>
      <c r="Z83" s="431"/>
      <c r="AA83" s="375"/>
      <c r="AB83" s="375"/>
      <c r="AC83" s="399"/>
    </row>
    <row r="84" spans="1:35" s="362" customFormat="1" hidden="1" x14ac:dyDescent="0.25">
      <c r="A84" s="389"/>
      <c r="B84" s="372"/>
      <c r="C84" s="372"/>
      <c r="D84" s="372"/>
      <c r="E84" s="382"/>
      <c r="F84" s="383"/>
      <c r="G84" s="384"/>
      <c r="H84" s="421"/>
      <c r="I84" s="375"/>
      <c r="J84" s="375"/>
      <c r="K84" s="375"/>
      <c r="L84" s="431">
        <f>Table147[[#This Row],[Ambitious target 2030]]+Table147[[#This Row],[Ambitious target 2030]]*0.5</f>
        <v>0</v>
      </c>
      <c r="M84" s="375"/>
      <c r="N84" s="375"/>
      <c r="O84" s="431"/>
      <c r="P84" s="431"/>
      <c r="Q84" s="431">
        <f>Table147[[#This Row],[Red target]]-Table147[[#This Row],[Red target]]*0.5</f>
        <v>0</v>
      </c>
      <c r="R84" s="431"/>
      <c r="S84" s="431"/>
      <c r="T84" s="431"/>
      <c r="U84" s="431"/>
      <c r="V84" s="431"/>
      <c r="W84" s="431"/>
      <c r="X84" s="431"/>
      <c r="Y84" s="431"/>
      <c r="Z84" s="431"/>
      <c r="AA84" s="375"/>
      <c r="AB84" s="375"/>
      <c r="AC84" s="399"/>
    </row>
    <row r="85" spans="1:35" s="362" customFormat="1" hidden="1" x14ac:dyDescent="0.25">
      <c r="A85" s="389"/>
      <c r="B85" s="372"/>
      <c r="C85" s="372"/>
      <c r="D85" s="372"/>
      <c r="E85" s="382"/>
      <c r="F85" s="383"/>
      <c r="G85" s="384"/>
      <c r="H85" s="421"/>
      <c r="I85" s="375"/>
      <c r="J85" s="375"/>
      <c r="K85" s="375"/>
      <c r="L85" s="431">
        <f>Table147[[#This Row],[Ambitious target 2030]]+Table147[[#This Row],[Ambitious target 2030]]*0.5</f>
        <v>0</v>
      </c>
      <c r="M85" s="375"/>
      <c r="N85" s="375"/>
      <c r="O85" s="431"/>
      <c r="P85" s="431"/>
      <c r="Q85" s="431">
        <f>Table147[[#This Row],[Red target]]-Table147[[#This Row],[Red target]]*0.5</f>
        <v>0</v>
      </c>
      <c r="R85" s="431"/>
      <c r="S85" s="431"/>
      <c r="T85" s="431"/>
      <c r="U85" s="431"/>
      <c r="V85" s="431"/>
      <c r="W85" s="431"/>
      <c r="X85" s="431"/>
      <c r="Y85" s="431"/>
      <c r="Z85" s="431"/>
      <c r="AA85" s="375"/>
      <c r="AB85" s="375"/>
      <c r="AC85" s="399"/>
    </row>
    <row r="86" spans="1:35" s="386" customFormat="1" hidden="1" x14ac:dyDescent="0.25">
      <c r="A86" s="409"/>
      <c r="B86" s="406"/>
      <c r="C86" s="406"/>
      <c r="D86" s="406"/>
      <c r="E86" s="407">
        <v>2016</v>
      </c>
      <c r="F86" s="407">
        <v>2017</v>
      </c>
      <c r="G86" s="407">
        <v>2018</v>
      </c>
      <c r="H86" s="407"/>
      <c r="I86" s="407"/>
      <c r="J86" s="407"/>
      <c r="K86" s="407"/>
      <c r="L86" s="407">
        <f>Table147[[#This Row],[Ambitious target 2030]]+Table147[[#This Row],[Ambitious target 2030]]*0.5</f>
        <v>0</v>
      </c>
      <c r="M86" s="407"/>
      <c r="N86" s="407"/>
      <c r="O86" s="407"/>
      <c r="P86" s="407"/>
      <c r="Q86" s="407">
        <f>Table147[[#This Row],[Red target]]-Table147[[#This Row],[Red target]]*0.5</f>
        <v>0</v>
      </c>
      <c r="R86" s="407"/>
      <c r="S86" s="407"/>
      <c r="T86" s="407"/>
      <c r="U86" s="407"/>
      <c r="V86" s="407"/>
      <c r="W86" s="407"/>
      <c r="X86" s="407"/>
      <c r="Y86" s="407"/>
      <c r="Z86" s="407"/>
      <c r="AA86" s="407"/>
      <c r="AB86" s="407"/>
      <c r="AC86" s="413"/>
    </row>
    <row r="87" spans="1:35" x14ac:dyDescent="0.25">
      <c r="A87" s="418" t="s">
        <v>549</v>
      </c>
      <c r="B87" s="437" t="s">
        <v>547</v>
      </c>
      <c r="C87" s="437" t="s">
        <v>219</v>
      </c>
      <c r="D87" s="436" t="s">
        <v>904</v>
      </c>
      <c r="E87" s="420">
        <v>72.180484340000007</v>
      </c>
      <c r="F87" s="420">
        <v>72.385296440000005</v>
      </c>
      <c r="G87" s="420">
        <v>72.560055829999996</v>
      </c>
      <c r="H87" s="421">
        <v>2016</v>
      </c>
      <c r="I87" s="421">
        <v>72.180484340000007</v>
      </c>
      <c r="J87" s="421">
        <v>2015</v>
      </c>
      <c r="K87" s="411">
        <v>68.372799999999998</v>
      </c>
      <c r="L87" s="411">
        <f>Table147[[#This Row],[Ambitious target 2030]]+Table147[[#This Row],[Ambitious target 2030]]*0.5</f>
        <v>113.1777439002</v>
      </c>
      <c r="M87" s="421">
        <f>AVERAGE(G88:G92)*0.9</f>
        <v>75.451829266800004</v>
      </c>
      <c r="N87" s="421"/>
      <c r="O87" s="421">
        <f>(M87-K87)*0.5+K87</f>
        <v>71.912314633400001</v>
      </c>
      <c r="P87" s="421"/>
      <c r="Q87" s="421">
        <f>Table147[[#This Row],[Red target]]-Table147[[#This Row],[Red target]]*0.5</f>
        <v>34.186399999999999</v>
      </c>
      <c r="R87" s="421"/>
      <c r="S87" s="421"/>
      <c r="T87" s="421"/>
      <c r="U87" s="421"/>
      <c r="V87" s="421"/>
      <c r="W87" s="421"/>
      <c r="X87" s="421"/>
      <c r="Y87" s="421"/>
      <c r="Z87" s="421">
        <f>K87</f>
        <v>68.372799999999998</v>
      </c>
      <c r="AA87" s="421" t="s">
        <v>978</v>
      </c>
      <c r="AB87" s="421" t="s">
        <v>1162</v>
      </c>
      <c r="AC87" s="419" t="s">
        <v>714</v>
      </c>
      <c r="AD87" s="360"/>
      <c r="AE87" s="360"/>
      <c r="AF87" s="360"/>
      <c r="AG87" s="360"/>
      <c r="AH87" s="360"/>
      <c r="AI87" s="360"/>
    </row>
    <row r="88" spans="1:35" hidden="1" x14ac:dyDescent="0.25">
      <c r="A88" s="390"/>
      <c r="B88" s="369"/>
      <c r="C88" s="369"/>
      <c r="D88" s="369" t="s">
        <v>708</v>
      </c>
      <c r="E88" s="379">
        <v>84.226829269999996</v>
      </c>
      <c r="F88" s="380">
        <v>84.680487799999995</v>
      </c>
      <c r="G88" s="381">
        <v>84.934146339999998</v>
      </c>
      <c r="H88" s="421"/>
      <c r="I88" s="375"/>
      <c r="J88" s="375"/>
      <c r="K88" s="375"/>
      <c r="L88" s="375">
        <f>Table147[[#This Row],[Ambitious target 2030]]+Table147[[#This Row],[Ambitious target 2030]]*0.5</f>
        <v>0</v>
      </c>
      <c r="M88" s="375"/>
      <c r="N88" s="375"/>
      <c r="O88" s="375"/>
      <c r="P88" s="375"/>
      <c r="Q88" s="375">
        <f>Table147[[#This Row],[Red target]]-Table147[[#This Row],[Red target]]*0.5</f>
        <v>0</v>
      </c>
      <c r="R88" s="375"/>
      <c r="S88" s="375"/>
      <c r="T88" s="375"/>
      <c r="U88" s="375"/>
      <c r="V88" s="375"/>
      <c r="W88" s="375"/>
      <c r="X88" s="375"/>
      <c r="Y88" s="375"/>
      <c r="Z88" s="375"/>
      <c r="AA88" s="375"/>
      <c r="AB88" s="375"/>
      <c r="AC88" s="396"/>
      <c r="AD88" s="360"/>
      <c r="AE88" s="360"/>
      <c r="AF88" s="360"/>
      <c r="AG88" s="360"/>
      <c r="AH88" s="360"/>
      <c r="AI88" s="360"/>
    </row>
    <row r="89" spans="1:35" hidden="1" x14ac:dyDescent="0.25">
      <c r="A89" s="390"/>
      <c r="B89" s="369"/>
      <c r="C89" s="369"/>
      <c r="D89" s="369" t="s">
        <v>715</v>
      </c>
      <c r="E89" s="379">
        <v>83.984878050000006</v>
      </c>
      <c r="F89" s="380">
        <v>84.099756099999993</v>
      </c>
      <c r="G89" s="381">
        <v>84.210975610000006</v>
      </c>
      <c r="H89" s="421"/>
      <c r="I89" s="375"/>
      <c r="J89" s="375"/>
      <c r="K89" s="375"/>
      <c r="L89" s="375">
        <f>Table147[[#This Row],[Ambitious target 2030]]+Table147[[#This Row],[Ambitious target 2030]]*0.5</f>
        <v>0</v>
      </c>
      <c r="M89" s="375"/>
      <c r="N89" s="375"/>
      <c r="O89" s="375"/>
      <c r="P89" s="375"/>
      <c r="Q89" s="375">
        <f>Table147[[#This Row],[Red target]]-Table147[[#This Row],[Red target]]*0.5</f>
        <v>0</v>
      </c>
      <c r="R89" s="375"/>
      <c r="S89" s="375"/>
      <c r="T89" s="375"/>
      <c r="U89" s="375"/>
      <c r="V89" s="375"/>
      <c r="W89" s="375"/>
      <c r="X89" s="375"/>
      <c r="Y89" s="375"/>
      <c r="Z89" s="375"/>
      <c r="AA89" s="375"/>
      <c r="AB89" s="375"/>
      <c r="AC89" s="396"/>
      <c r="AD89" s="360"/>
      <c r="AE89" s="360"/>
      <c r="AF89" s="360"/>
      <c r="AG89" s="360"/>
      <c r="AH89" s="360"/>
      <c r="AI89" s="360"/>
    </row>
    <row r="90" spans="1:35" hidden="1" x14ac:dyDescent="0.25">
      <c r="A90" s="390"/>
      <c r="B90" s="369"/>
      <c r="C90" s="369"/>
      <c r="D90" s="369" t="s">
        <v>700</v>
      </c>
      <c r="E90" s="379">
        <v>83.602439020000006</v>
      </c>
      <c r="F90" s="380">
        <v>83.551219509999996</v>
      </c>
      <c r="G90" s="381">
        <v>83.551219509999996</v>
      </c>
      <c r="H90" s="421"/>
      <c r="I90" s="375"/>
      <c r="J90" s="375"/>
      <c r="K90" s="375"/>
      <c r="L90" s="375">
        <f>Table147[[#This Row],[Ambitious target 2030]]+Table147[[#This Row],[Ambitious target 2030]]*0.5</f>
        <v>0</v>
      </c>
      <c r="M90" s="375"/>
      <c r="N90" s="375"/>
      <c r="O90" s="375"/>
      <c r="P90" s="375"/>
      <c r="Q90" s="375">
        <f>Table147[[#This Row],[Red target]]-Table147[[#This Row],[Red target]]*0.5</f>
        <v>0</v>
      </c>
      <c r="R90" s="375"/>
      <c r="S90" s="375"/>
      <c r="T90" s="375"/>
      <c r="U90" s="375"/>
      <c r="V90" s="375"/>
      <c r="W90" s="375"/>
      <c r="X90" s="375"/>
      <c r="Y90" s="375"/>
      <c r="Z90" s="375"/>
      <c r="AA90" s="375"/>
      <c r="AB90" s="375"/>
      <c r="AC90" s="396"/>
      <c r="AD90" s="360"/>
      <c r="AE90" s="360"/>
      <c r="AF90" s="360"/>
      <c r="AG90" s="360"/>
      <c r="AH90" s="360"/>
      <c r="AI90" s="360"/>
    </row>
    <row r="91" spans="1:35" hidden="1" x14ac:dyDescent="0.25">
      <c r="A91" s="390"/>
      <c r="B91" s="369"/>
      <c r="C91" s="369"/>
      <c r="D91" s="369" t="s">
        <v>716</v>
      </c>
      <c r="E91" s="379">
        <v>83.329268290000002</v>
      </c>
      <c r="F91" s="380">
        <v>83.282926829999994</v>
      </c>
      <c r="G91" s="381">
        <v>83.334146340000004</v>
      </c>
      <c r="H91" s="421"/>
      <c r="I91" s="375"/>
      <c r="J91" s="375"/>
      <c r="K91" s="375"/>
      <c r="L91" s="375">
        <f>Table147[[#This Row],[Ambitious target 2030]]+Table147[[#This Row],[Ambitious target 2030]]*0.5</f>
        <v>0</v>
      </c>
      <c r="M91" s="375"/>
      <c r="N91" s="375"/>
      <c r="O91" s="375"/>
      <c r="P91" s="375"/>
      <c r="Q91" s="375">
        <f>Table147[[#This Row],[Red target]]-Table147[[#This Row],[Red target]]*0.5</f>
        <v>0</v>
      </c>
      <c r="R91" s="375"/>
      <c r="S91" s="375"/>
      <c r="T91" s="375"/>
      <c r="U91" s="375"/>
      <c r="V91" s="375"/>
      <c r="W91" s="375"/>
      <c r="X91" s="375"/>
      <c r="Y91" s="375"/>
      <c r="Z91" s="375"/>
      <c r="AA91" s="375"/>
      <c r="AB91" s="375"/>
      <c r="AC91" s="396"/>
      <c r="AD91" s="360"/>
      <c r="AE91" s="360"/>
      <c r="AF91" s="360"/>
      <c r="AG91" s="360"/>
      <c r="AH91" s="360"/>
      <c r="AI91" s="360"/>
    </row>
    <row r="92" spans="1:35" hidden="1" x14ac:dyDescent="0.25">
      <c r="A92" s="390"/>
      <c r="B92" s="369"/>
      <c r="C92" s="369"/>
      <c r="D92" s="369" t="s">
        <v>702</v>
      </c>
      <c r="E92" s="379">
        <v>82.846341460000005</v>
      </c>
      <c r="F92" s="380">
        <v>83.095121950000006</v>
      </c>
      <c r="G92" s="381">
        <v>83.146341460000002</v>
      </c>
      <c r="H92" s="421"/>
      <c r="I92" s="375"/>
      <c r="J92" s="375"/>
      <c r="K92" s="375"/>
      <c r="L92" s="375">
        <f>Table147[[#This Row],[Ambitious target 2030]]+Table147[[#This Row],[Ambitious target 2030]]*0.5</f>
        <v>0</v>
      </c>
      <c r="M92" s="375"/>
      <c r="N92" s="375"/>
      <c r="O92" s="375"/>
      <c r="P92" s="375"/>
      <c r="Q92" s="375">
        <f>Table147[[#This Row],[Red target]]-Table147[[#This Row],[Red target]]*0.5</f>
        <v>0</v>
      </c>
      <c r="R92" s="375"/>
      <c r="S92" s="375"/>
      <c r="T92" s="375"/>
      <c r="U92" s="375"/>
      <c r="V92" s="375"/>
      <c r="W92" s="375"/>
      <c r="X92" s="375"/>
      <c r="Y92" s="375"/>
      <c r="Z92" s="375"/>
      <c r="AA92" s="375"/>
      <c r="AB92" s="375"/>
      <c r="AC92" s="396"/>
      <c r="AD92" s="360"/>
      <c r="AE92" s="360"/>
      <c r="AF92" s="360"/>
      <c r="AG92" s="360"/>
      <c r="AH92" s="360"/>
      <c r="AI92" s="360"/>
    </row>
    <row r="93" spans="1:35" hidden="1" x14ac:dyDescent="0.25">
      <c r="A93" s="390"/>
      <c r="B93" s="369"/>
      <c r="C93" s="369"/>
      <c r="D93" s="369" t="s">
        <v>711</v>
      </c>
      <c r="E93" s="382">
        <v>53.438000000000002</v>
      </c>
      <c r="F93" s="383">
        <v>53.712000000000003</v>
      </c>
      <c r="G93" s="384">
        <v>53.976999999999997</v>
      </c>
      <c r="H93" s="421"/>
      <c r="I93" s="375"/>
      <c r="J93" s="375"/>
      <c r="K93" s="375"/>
      <c r="L93" s="375">
        <f>Table147[[#This Row],[Ambitious target 2030]]+Table147[[#This Row],[Ambitious target 2030]]*0.5</f>
        <v>0</v>
      </c>
      <c r="M93" s="375"/>
      <c r="N93" s="375"/>
      <c r="O93" s="375"/>
      <c r="P93" s="375"/>
      <c r="Q93" s="375">
        <f>Table147[[#This Row],[Red target]]-Table147[[#This Row],[Red target]]*0.5</f>
        <v>0</v>
      </c>
      <c r="R93" s="375"/>
      <c r="S93" s="375"/>
      <c r="T93" s="375"/>
      <c r="U93" s="375"/>
      <c r="V93" s="375"/>
      <c r="W93" s="375"/>
      <c r="X93" s="375"/>
      <c r="Y93" s="375"/>
      <c r="Z93" s="375"/>
      <c r="AA93" s="375"/>
      <c r="AB93" s="375"/>
      <c r="AC93" s="396"/>
      <c r="AD93" s="360"/>
      <c r="AE93" s="360"/>
      <c r="AF93" s="360"/>
      <c r="AG93" s="360"/>
      <c r="AH93" s="360"/>
      <c r="AI93" s="360"/>
    </row>
    <row r="94" spans="1:35" hidden="1" x14ac:dyDescent="0.25">
      <c r="A94" s="390"/>
      <c r="B94" s="369"/>
      <c r="C94" s="369"/>
      <c r="D94" s="369" t="s">
        <v>705</v>
      </c>
      <c r="E94" s="382">
        <v>53.444000000000003</v>
      </c>
      <c r="F94" s="383">
        <v>53.895000000000003</v>
      </c>
      <c r="G94" s="384">
        <v>54.308999999999997</v>
      </c>
      <c r="H94" s="421"/>
      <c r="I94" s="375"/>
      <c r="J94" s="375"/>
      <c r="K94" s="375"/>
      <c r="L94" s="375">
        <f>Table147[[#This Row],[Ambitious target 2030]]+Table147[[#This Row],[Ambitious target 2030]]*0.5</f>
        <v>0</v>
      </c>
      <c r="M94" s="375"/>
      <c r="N94" s="375"/>
      <c r="O94" s="375"/>
      <c r="P94" s="375"/>
      <c r="Q94" s="375">
        <f>Table147[[#This Row],[Red target]]-Table147[[#This Row],[Red target]]*0.5</f>
        <v>0</v>
      </c>
      <c r="R94" s="375"/>
      <c r="S94" s="375"/>
      <c r="T94" s="375"/>
      <c r="U94" s="375"/>
      <c r="V94" s="375"/>
      <c r="W94" s="375"/>
      <c r="X94" s="375"/>
      <c r="Y94" s="375"/>
      <c r="Z94" s="375"/>
      <c r="AA94" s="375"/>
      <c r="AB94" s="375"/>
      <c r="AC94" s="396"/>
      <c r="AD94" s="360"/>
      <c r="AE94" s="360"/>
      <c r="AF94" s="360"/>
      <c r="AG94" s="360"/>
      <c r="AH94" s="360"/>
      <c r="AI94" s="360"/>
    </row>
    <row r="95" spans="1:35" hidden="1" x14ac:dyDescent="0.25">
      <c r="A95" s="390"/>
      <c r="B95" s="369"/>
      <c r="C95" s="369"/>
      <c r="D95" s="369" t="s">
        <v>717</v>
      </c>
      <c r="E95" s="382">
        <v>53.540999999999997</v>
      </c>
      <c r="F95" s="383">
        <v>53.95</v>
      </c>
      <c r="G95" s="384">
        <v>54.332000000000001</v>
      </c>
      <c r="H95" s="421"/>
      <c r="I95" s="375"/>
      <c r="J95" s="375"/>
      <c r="K95" s="375"/>
      <c r="L95" s="375">
        <f>Table147[[#This Row],[Ambitious target 2030]]+Table147[[#This Row],[Ambitious target 2030]]*0.5</f>
        <v>0</v>
      </c>
      <c r="M95" s="375"/>
      <c r="N95" s="375"/>
      <c r="O95" s="375"/>
      <c r="P95" s="375"/>
      <c r="Q95" s="375">
        <f>Table147[[#This Row],[Red target]]-Table147[[#This Row],[Red target]]*0.5</f>
        <v>0</v>
      </c>
      <c r="R95" s="375"/>
      <c r="S95" s="375"/>
      <c r="T95" s="375"/>
      <c r="U95" s="375"/>
      <c r="V95" s="375"/>
      <c r="W95" s="375"/>
      <c r="X95" s="375"/>
      <c r="Y95" s="375"/>
      <c r="Z95" s="375"/>
      <c r="AA95" s="375"/>
      <c r="AB95" s="375"/>
      <c r="AC95" s="396"/>
      <c r="AD95" s="360"/>
      <c r="AE95" s="360"/>
      <c r="AF95" s="360"/>
      <c r="AG95" s="360"/>
      <c r="AH95" s="360"/>
      <c r="AI95" s="360"/>
    </row>
    <row r="96" spans="1:35" hidden="1" x14ac:dyDescent="0.25">
      <c r="A96" s="390"/>
      <c r="B96" s="369"/>
      <c r="C96" s="369"/>
      <c r="D96" s="369" t="s">
        <v>683</v>
      </c>
      <c r="E96" s="382">
        <v>56.323999999999998</v>
      </c>
      <c r="F96" s="383">
        <v>56.709000000000003</v>
      </c>
      <c r="G96" s="384">
        <v>57.067999999999998</v>
      </c>
      <c r="H96" s="421"/>
      <c r="I96" s="375"/>
      <c r="J96" s="375"/>
      <c r="K96" s="375"/>
      <c r="L96" s="375">
        <f>Table147[[#This Row],[Ambitious target 2030]]+Table147[[#This Row],[Ambitious target 2030]]*0.5</f>
        <v>0</v>
      </c>
      <c r="M96" s="375"/>
      <c r="N96" s="375"/>
      <c r="O96" s="375"/>
      <c r="P96" s="375"/>
      <c r="Q96" s="375">
        <f>Table147[[#This Row],[Red target]]-Table147[[#This Row],[Red target]]*0.5</f>
        <v>0</v>
      </c>
      <c r="R96" s="375"/>
      <c r="S96" s="375"/>
      <c r="T96" s="375"/>
      <c r="U96" s="375"/>
      <c r="V96" s="375"/>
      <c r="W96" s="375"/>
      <c r="X96" s="375"/>
      <c r="Y96" s="375"/>
      <c r="Z96" s="375"/>
      <c r="AA96" s="375"/>
      <c r="AB96" s="375"/>
      <c r="AC96" s="396"/>
      <c r="AD96" s="360"/>
      <c r="AE96" s="360"/>
      <c r="AF96" s="360"/>
      <c r="AG96" s="360"/>
      <c r="AH96" s="360"/>
      <c r="AI96" s="360"/>
    </row>
    <row r="97" spans="1:35" hidden="1" x14ac:dyDescent="0.25">
      <c r="A97" s="390"/>
      <c r="B97" s="369"/>
      <c r="C97" s="369"/>
      <c r="D97" s="369" t="s">
        <v>718</v>
      </c>
      <c r="E97" s="382">
        <v>57.12</v>
      </c>
      <c r="F97" s="383">
        <v>57.365000000000002</v>
      </c>
      <c r="G97" s="384">
        <v>57.603999999999999</v>
      </c>
      <c r="H97" s="421"/>
      <c r="I97" s="375"/>
      <c r="J97" s="375"/>
      <c r="K97" s="375"/>
      <c r="L97" s="375">
        <f>Table147[[#This Row],[Ambitious target 2030]]+Table147[[#This Row],[Ambitious target 2030]]*0.5</f>
        <v>0</v>
      </c>
      <c r="M97" s="375"/>
      <c r="N97" s="375"/>
      <c r="O97" s="375"/>
      <c r="P97" s="375"/>
      <c r="Q97" s="375">
        <f>Table147[[#This Row],[Red target]]-Table147[[#This Row],[Red target]]*0.5</f>
        <v>0</v>
      </c>
      <c r="R97" s="375"/>
      <c r="S97" s="375"/>
      <c r="T97" s="375"/>
      <c r="U97" s="375"/>
      <c r="V97" s="375"/>
      <c r="W97" s="375"/>
      <c r="X97" s="375"/>
      <c r="Y97" s="375"/>
      <c r="Z97" s="375"/>
      <c r="AA97" s="375"/>
      <c r="AB97" s="375"/>
      <c r="AC97" s="396"/>
      <c r="AD97" s="360"/>
      <c r="AE97" s="360"/>
      <c r="AF97" s="360"/>
      <c r="AG97" s="360"/>
      <c r="AH97" s="360"/>
      <c r="AI97" s="360"/>
    </row>
    <row r="98" spans="1:35" s="386" customFormat="1" hidden="1" x14ac:dyDescent="0.25">
      <c r="A98" s="409"/>
      <c r="B98" s="406"/>
      <c r="C98" s="406"/>
      <c r="D98" s="406"/>
      <c r="E98" s="407">
        <v>2016</v>
      </c>
      <c r="F98" s="407">
        <v>2017</v>
      </c>
      <c r="G98" s="407">
        <v>2018</v>
      </c>
      <c r="H98" s="407"/>
      <c r="I98" s="407"/>
      <c r="J98" s="407"/>
      <c r="K98" s="407"/>
      <c r="L98" s="407">
        <f>Table147[[#This Row],[Ambitious target 2030]]+Table147[[#This Row],[Ambitious target 2030]]*0.5</f>
        <v>0</v>
      </c>
      <c r="M98" s="407"/>
      <c r="N98" s="407"/>
      <c r="O98" s="407"/>
      <c r="P98" s="407"/>
      <c r="Q98" s="407">
        <f>Table147[[#This Row],[Red target]]-Table147[[#This Row],[Red target]]*0.5</f>
        <v>0</v>
      </c>
      <c r="R98" s="407"/>
      <c r="S98" s="407"/>
      <c r="T98" s="407"/>
      <c r="U98" s="407"/>
      <c r="V98" s="407"/>
      <c r="W98" s="407"/>
      <c r="X98" s="407"/>
      <c r="Y98" s="407"/>
      <c r="Z98" s="407"/>
      <c r="AA98" s="407"/>
      <c r="AB98" s="407"/>
      <c r="AC98" s="413"/>
    </row>
    <row r="99" spans="1:35" x14ac:dyDescent="0.25">
      <c r="A99" s="418" t="s">
        <v>550</v>
      </c>
      <c r="B99" s="437" t="s">
        <v>548</v>
      </c>
      <c r="C99" s="437" t="s">
        <v>191</v>
      </c>
      <c r="D99" s="436" t="s">
        <v>904</v>
      </c>
      <c r="E99" s="420">
        <v>0.72699999999999998</v>
      </c>
      <c r="F99" s="420">
        <v>0.72899999999999998</v>
      </c>
      <c r="G99" s="420">
        <v>0.73099999999999998</v>
      </c>
      <c r="H99" s="421">
        <v>2016</v>
      </c>
      <c r="I99" s="421">
        <v>0.72699999999999998</v>
      </c>
      <c r="J99" s="421">
        <v>2015</v>
      </c>
      <c r="K99" s="411">
        <v>0.68093999999999999</v>
      </c>
      <c r="L99" s="411">
        <v>1</v>
      </c>
      <c r="M99" s="421">
        <f>AVERAGE(G100:G104)*0.9</f>
        <v>0.84960000000000002</v>
      </c>
      <c r="N99" s="421"/>
      <c r="O99" s="421">
        <f>(M99-K99)*0.5+K99</f>
        <v>0.76527000000000001</v>
      </c>
      <c r="P99" s="421"/>
      <c r="Q99" s="421">
        <f>Table147[[#This Row],[Red target]]-Table147[[#This Row],[Red target]]*0.5</f>
        <v>0.34046999999999999</v>
      </c>
      <c r="R99" s="421"/>
      <c r="S99" s="421"/>
      <c r="T99" s="421"/>
      <c r="U99" s="421"/>
      <c r="V99" s="421"/>
      <c r="W99" s="421"/>
      <c r="X99" s="421"/>
      <c r="Y99" s="421"/>
      <c r="Z99" s="421">
        <f>K99</f>
        <v>0.68093999999999999</v>
      </c>
      <c r="AA99" s="421" t="s">
        <v>978</v>
      </c>
      <c r="AB99" s="421" t="s">
        <v>1162</v>
      </c>
      <c r="AC99" s="419" t="s">
        <v>719</v>
      </c>
      <c r="AD99" s="360"/>
      <c r="AE99" s="360"/>
      <c r="AF99" s="360"/>
      <c r="AG99" s="360"/>
      <c r="AH99" s="360"/>
      <c r="AI99" s="360"/>
    </row>
    <row r="100" spans="1:35" hidden="1" x14ac:dyDescent="0.25">
      <c r="A100" s="390"/>
      <c r="B100" s="369"/>
      <c r="C100" s="369"/>
      <c r="D100" s="369" t="s">
        <v>690</v>
      </c>
      <c r="E100" s="379">
        <v>0.95099999999999996</v>
      </c>
      <c r="F100" s="380">
        <v>0.95299999999999996</v>
      </c>
      <c r="G100" s="381">
        <v>0.95399999999999996</v>
      </c>
      <c r="H100" s="421"/>
      <c r="I100" s="375"/>
      <c r="J100" s="375"/>
      <c r="K100" s="375"/>
      <c r="L100" s="375">
        <f>Table147[[#This Row],[Ambitious target 2030]]+Table147[[#This Row],[Ambitious target 2030]]*0.5</f>
        <v>0</v>
      </c>
      <c r="M100" s="375"/>
      <c r="N100" s="375"/>
      <c r="O100" s="375"/>
      <c r="P100" s="375"/>
      <c r="Q100" s="375">
        <f>Table147[[#This Row],[Red target]]-Table147[[#This Row],[Red target]]*0.5</f>
        <v>0</v>
      </c>
      <c r="R100" s="375"/>
      <c r="S100" s="375"/>
      <c r="T100" s="375"/>
      <c r="U100" s="375"/>
      <c r="V100" s="375"/>
      <c r="W100" s="375"/>
      <c r="X100" s="375"/>
      <c r="Y100" s="375"/>
      <c r="Z100" s="375"/>
      <c r="AA100" s="375"/>
      <c r="AB100" s="375"/>
      <c r="AC100" s="396"/>
      <c r="AD100" s="360"/>
      <c r="AE100" s="360"/>
      <c r="AF100" s="360"/>
      <c r="AG100" s="360"/>
      <c r="AH100" s="360"/>
      <c r="AI100" s="360"/>
    </row>
    <row r="101" spans="1:35" hidden="1" x14ac:dyDescent="0.25">
      <c r="A101" s="390"/>
      <c r="B101" s="369"/>
      <c r="C101" s="369"/>
      <c r="D101" s="369" t="s">
        <v>700</v>
      </c>
      <c r="E101" s="379">
        <v>0.94299999999999995</v>
      </c>
      <c r="F101" s="380">
        <v>0.94299999999999995</v>
      </c>
      <c r="G101" s="381">
        <v>0.94599999999999995</v>
      </c>
      <c r="H101" s="421"/>
      <c r="I101" s="375"/>
      <c r="J101" s="375"/>
      <c r="K101" s="375"/>
      <c r="L101" s="375">
        <f>Table147[[#This Row],[Ambitious target 2030]]+Table147[[#This Row],[Ambitious target 2030]]*0.5</f>
        <v>0</v>
      </c>
      <c r="M101" s="375"/>
      <c r="N101" s="375"/>
      <c r="O101" s="375"/>
      <c r="P101" s="375"/>
      <c r="Q101" s="375">
        <f>Table147[[#This Row],[Red target]]-Table147[[#This Row],[Red target]]*0.5</f>
        <v>0</v>
      </c>
      <c r="R101" s="375"/>
      <c r="S101" s="375"/>
      <c r="T101" s="375"/>
      <c r="U101" s="375"/>
      <c r="V101" s="375"/>
      <c r="W101" s="375"/>
      <c r="X101" s="375"/>
      <c r="Y101" s="375"/>
      <c r="Z101" s="375"/>
      <c r="AA101" s="375"/>
      <c r="AB101" s="375"/>
      <c r="AC101" s="396"/>
      <c r="AD101" s="360"/>
      <c r="AE101" s="360"/>
      <c r="AF101" s="360"/>
      <c r="AG101" s="360"/>
      <c r="AH101" s="360"/>
      <c r="AI101" s="360"/>
    </row>
    <row r="102" spans="1:35" hidden="1" x14ac:dyDescent="0.25">
      <c r="A102" s="390"/>
      <c r="B102" s="369"/>
      <c r="C102" s="369"/>
      <c r="D102" s="369" t="s">
        <v>681</v>
      </c>
      <c r="E102" s="379">
        <v>0.93600000000000005</v>
      </c>
      <c r="F102" s="380">
        <v>0.93899999999999995</v>
      </c>
      <c r="G102" s="381">
        <v>0.94199999999999995</v>
      </c>
      <c r="H102" s="421"/>
      <c r="I102" s="375"/>
      <c r="J102" s="375"/>
      <c r="K102" s="375"/>
      <c r="L102" s="375">
        <f>Table147[[#This Row],[Ambitious target 2030]]+Table147[[#This Row],[Ambitious target 2030]]*0.5</f>
        <v>0</v>
      </c>
      <c r="M102" s="375"/>
      <c r="N102" s="375"/>
      <c r="O102" s="375"/>
      <c r="P102" s="375"/>
      <c r="Q102" s="375">
        <f>Table147[[#This Row],[Red target]]-Table147[[#This Row],[Red target]]*0.5</f>
        <v>0</v>
      </c>
      <c r="R102" s="375"/>
      <c r="S102" s="375"/>
      <c r="T102" s="375"/>
      <c r="U102" s="375"/>
      <c r="V102" s="375"/>
      <c r="W102" s="375"/>
      <c r="X102" s="375"/>
      <c r="Y102" s="375"/>
      <c r="Z102" s="375"/>
      <c r="AA102" s="375"/>
      <c r="AB102" s="375"/>
      <c r="AC102" s="396"/>
      <c r="AD102" s="360"/>
      <c r="AE102" s="360"/>
      <c r="AF102" s="360"/>
      <c r="AG102" s="360"/>
      <c r="AH102" s="360"/>
      <c r="AI102" s="360"/>
    </row>
    <row r="103" spans="1:35" hidden="1" x14ac:dyDescent="0.25">
      <c r="A103" s="390"/>
      <c r="B103" s="369"/>
      <c r="C103" s="369"/>
      <c r="D103" s="369" t="s">
        <v>720</v>
      </c>
      <c r="E103" s="379">
        <v>0.93600000000000005</v>
      </c>
      <c r="F103" s="380">
        <v>0.93799999999999994</v>
      </c>
      <c r="G103" s="381">
        <v>0.93899999999999995</v>
      </c>
      <c r="H103" s="421"/>
      <c r="I103" s="375"/>
      <c r="J103" s="375"/>
      <c r="K103" s="375"/>
      <c r="L103" s="375">
        <f>Table147[[#This Row],[Ambitious target 2030]]+Table147[[#This Row],[Ambitious target 2030]]*0.5</f>
        <v>0</v>
      </c>
      <c r="M103" s="375"/>
      <c r="N103" s="375"/>
      <c r="O103" s="375"/>
      <c r="P103" s="375"/>
      <c r="Q103" s="375">
        <f>Table147[[#This Row],[Red target]]-Table147[[#This Row],[Red target]]*0.5</f>
        <v>0</v>
      </c>
      <c r="R103" s="375"/>
      <c r="S103" s="375"/>
      <c r="T103" s="375"/>
      <c r="U103" s="375"/>
      <c r="V103" s="375"/>
      <c r="W103" s="375"/>
      <c r="X103" s="375"/>
      <c r="Y103" s="375"/>
      <c r="Z103" s="375"/>
      <c r="AA103" s="375"/>
      <c r="AB103" s="375"/>
      <c r="AC103" s="396"/>
      <c r="AD103" s="360"/>
      <c r="AE103" s="360"/>
      <c r="AF103" s="360"/>
      <c r="AG103" s="360"/>
      <c r="AH103" s="360"/>
      <c r="AI103" s="360"/>
    </row>
    <row r="104" spans="1:35" hidden="1" x14ac:dyDescent="0.25">
      <c r="A104" s="390"/>
      <c r="B104" s="369"/>
      <c r="C104" s="369"/>
      <c r="D104" s="369" t="s">
        <v>721</v>
      </c>
      <c r="E104" s="379">
        <v>0.93100000000000005</v>
      </c>
      <c r="F104" s="380">
        <v>0.93700000000000006</v>
      </c>
      <c r="G104" s="381">
        <v>0.93899999999999995</v>
      </c>
      <c r="H104" s="421"/>
      <c r="I104" s="375"/>
      <c r="J104" s="375"/>
      <c r="K104" s="375"/>
      <c r="L104" s="375">
        <f>Table147[[#This Row],[Ambitious target 2030]]+Table147[[#This Row],[Ambitious target 2030]]*0.5</f>
        <v>0</v>
      </c>
      <c r="M104" s="375"/>
      <c r="N104" s="375"/>
      <c r="O104" s="375"/>
      <c r="P104" s="375"/>
      <c r="Q104" s="375">
        <f>Table147[[#This Row],[Red target]]-Table147[[#This Row],[Red target]]*0.5</f>
        <v>0</v>
      </c>
      <c r="R104" s="375"/>
      <c r="S104" s="375"/>
      <c r="T104" s="375"/>
      <c r="U104" s="375"/>
      <c r="V104" s="375"/>
      <c r="W104" s="375"/>
      <c r="X104" s="375"/>
      <c r="Y104" s="375"/>
      <c r="Z104" s="375"/>
      <c r="AA104" s="375"/>
      <c r="AB104" s="375"/>
      <c r="AC104" s="396"/>
      <c r="AD104" s="360"/>
      <c r="AE104" s="360"/>
      <c r="AF104" s="360"/>
      <c r="AG104" s="360"/>
      <c r="AH104" s="360"/>
      <c r="AI104" s="360"/>
    </row>
    <row r="105" spans="1:35" hidden="1" x14ac:dyDescent="0.25">
      <c r="A105" s="390"/>
      <c r="B105" s="369"/>
      <c r="C105" s="369"/>
      <c r="D105" s="369" t="s">
        <v>676</v>
      </c>
      <c r="E105" s="382">
        <v>0.36499999999999999</v>
      </c>
      <c r="F105" s="383">
        <v>0.373</v>
      </c>
      <c r="G105" s="384">
        <v>0.377</v>
      </c>
      <c r="H105" s="421"/>
      <c r="I105" s="375"/>
      <c r="J105" s="375"/>
      <c r="K105" s="375"/>
      <c r="L105" s="375">
        <f>Table147[[#This Row],[Ambitious target 2030]]+Table147[[#This Row],[Ambitious target 2030]]*0.5</f>
        <v>0</v>
      </c>
      <c r="M105" s="375"/>
      <c r="N105" s="375"/>
      <c r="O105" s="375"/>
      <c r="P105" s="375"/>
      <c r="Q105" s="375">
        <f>Table147[[#This Row],[Red target]]-Table147[[#This Row],[Red target]]*0.5</f>
        <v>0</v>
      </c>
      <c r="R105" s="375"/>
      <c r="S105" s="375"/>
      <c r="T105" s="375"/>
      <c r="U105" s="375"/>
      <c r="V105" s="375"/>
      <c r="W105" s="375"/>
      <c r="X105" s="375"/>
      <c r="Y105" s="375"/>
      <c r="Z105" s="375"/>
      <c r="AA105" s="375"/>
      <c r="AB105" s="375"/>
      <c r="AC105" s="396"/>
      <c r="AD105" s="360"/>
      <c r="AE105" s="360"/>
      <c r="AF105" s="360"/>
      <c r="AG105" s="360"/>
      <c r="AH105" s="360"/>
      <c r="AI105" s="360"/>
    </row>
    <row r="106" spans="1:35" hidden="1" x14ac:dyDescent="0.25">
      <c r="A106" s="390"/>
      <c r="B106" s="369"/>
      <c r="C106" s="369"/>
      <c r="D106" s="369" t="s">
        <v>711</v>
      </c>
      <c r="E106" s="382">
        <v>0.39800000000000002</v>
      </c>
      <c r="F106" s="383">
        <v>0.40100000000000002</v>
      </c>
      <c r="G106" s="384">
        <v>0.40100000000000002</v>
      </c>
      <c r="H106" s="421"/>
      <c r="I106" s="375"/>
      <c r="J106" s="375"/>
      <c r="K106" s="375"/>
      <c r="L106" s="375">
        <f>Table147[[#This Row],[Ambitious target 2030]]+Table147[[#This Row],[Ambitious target 2030]]*0.5</f>
        <v>0</v>
      </c>
      <c r="M106" s="375"/>
      <c r="N106" s="375"/>
      <c r="O106" s="375"/>
      <c r="P106" s="375"/>
      <c r="Q106" s="375">
        <f>Table147[[#This Row],[Red target]]-Table147[[#This Row],[Red target]]*0.5</f>
        <v>0</v>
      </c>
      <c r="R106" s="375"/>
      <c r="S106" s="375"/>
      <c r="T106" s="375"/>
      <c r="U106" s="375"/>
      <c r="V106" s="375"/>
      <c r="W106" s="375"/>
      <c r="X106" s="375"/>
      <c r="Y106" s="375"/>
      <c r="Z106" s="375"/>
      <c r="AA106" s="375"/>
      <c r="AB106" s="375"/>
      <c r="AC106" s="396"/>
      <c r="AD106" s="360"/>
      <c r="AE106" s="360"/>
      <c r="AF106" s="360"/>
      <c r="AG106" s="360"/>
      <c r="AH106" s="360"/>
      <c r="AI106" s="360"/>
    </row>
    <row r="107" spans="1:35" hidden="1" x14ac:dyDescent="0.25">
      <c r="A107" s="390"/>
      <c r="B107" s="369"/>
      <c r="C107" s="369"/>
      <c r="D107" s="369" t="s">
        <v>718</v>
      </c>
      <c r="E107" s="382">
        <v>0.41799999999999998</v>
      </c>
      <c r="F107" s="383">
        <v>0.41399999999999998</v>
      </c>
      <c r="G107" s="384">
        <v>0.41299999999999998</v>
      </c>
      <c r="H107" s="421"/>
      <c r="I107" s="375"/>
      <c r="J107" s="375"/>
      <c r="K107" s="375"/>
      <c r="L107" s="375">
        <f>Table147[[#This Row],[Ambitious target 2030]]+Table147[[#This Row],[Ambitious target 2030]]*0.5</f>
        <v>0</v>
      </c>
      <c r="M107" s="375"/>
      <c r="N107" s="375"/>
      <c r="O107" s="375"/>
      <c r="P107" s="375"/>
      <c r="Q107" s="375">
        <f>Table147[[#This Row],[Red target]]-Table147[[#This Row],[Red target]]*0.5</f>
        <v>0</v>
      </c>
      <c r="R107" s="375"/>
      <c r="S107" s="375"/>
      <c r="T107" s="375"/>
      <c r="U107" s="375"/>
      <c r="V107" s="375"/>
      <c r="W107" s="375"/>
      <c r="X107" s="375"/>
      <c r="Y107" s="375"/>
      <c r="Z107" s="375"/>
      <c r="AA107" s="375"/>
      <c r="AB107" s="375"/>
      <c r="AC107" s="396"/>
      <c r="AD107" s="360"/>
      <c r="AE107" s="360"/>
      <c r="AF107" s="360"/>
      <c r="AG107" s="360"/>
      <c r="AH107" s="360"/>
      <c r="AI107" s="360"/>
    </row>
    <row r="108" spans="1:35" hidden="1" x14ac:dyDescent="0.25">
      <c r="A108" s="390"/>
      <c r="B108" s="369"/>
      <c r="C108" s="369"/>
      <c r="D108" s="369" t="s">
        <v>722</v>
      </c>
      <c r="E108" s="382">
        <v>0.42699999999999999</v>
      </c>
      <c r="F108" s="383">
        <v>0.42099999999999999</v>
      </c>
      <c r="G108" s="384">
        <v>0.42299999999999999</v>
      </c>
      <c r="H108" s="421"/>
      <c r="I108" s="375"/>
      <c r="J108" s="375"/>
      <c r="K108" s="375"/>
      <c r="L108" s="375">
        <f>Table147[[#This Row],[Ambitious target 2030]]+Table147[[#This Row],[Ambitious target 2030]]*0.5</f>
        <v>0</v>
      </c>
      <c r="M108" s="375"/>
      <c r="N108" s="375"/>
      <c r="O108" s="375"/>
      <c r="P108" s="375"/>
      <c r="Q108" s="375">
        <f>Table147[[#This Row],[Red target]]-Table147[[#This Row],[Red target]]*0.5</f>
        <v>0</v>
      </c>
      <c r="R108" s="375"/>
      <c r="S108" s="375"/>
      <c r="T108" s="375"/>
      <c r="U108" s="375"/>
      <c r="V108" s="375"/>
      <c r="W108" s="375"/>
      <c r="X108" s="375"/>
      <c r="Y108" s="375"/>
      <c r="Z108" s="375"/>
      <c r="AA108" s="375"/>
      <c r="AB108" s="375"/>
      <c r="AC108" s="396"/>
      <c r="AD108" s="360"/>
      <c r="AE108" s="360"/>
      <c r="AF108" s="360"/>
      <c r="AG108" s="360"/>
      <c r="AH108" s="360"/>
      <c r="AI108" s="360"/>
    </row>
    <row r="109" spans="1:35" hidden="1" x14ac:dyDescent="0.25">
      <c r="A109" s="390"/>
      <c r="B109" s="369"/>
      <c r="C109" s="369"/>
      <c r="D109" s="369" t="s">
        <v>710</v>
      </c>
      <c r="E109" s="382">
        <v>0.42</v>
      </c>
      <c r="F109" s="383">
        <v>0.42599999999999999</v>
      </c>
      <c r="G109" s="384">
        <v>0.42699999999999999</v>
      </c>
      <c r="H109" s="421"/>
      <c r="I109" s="375"/>
      <c r="J109" s="375"/>
      <c r="K109" s="375"/>
      <c r="L109" s="375">
        <f>Table147[[#This Row],[Ambitious target 2030]]+Table147[[#This Row],[Ambitious target 2030]]*0.5</f>
        <v>0</v>
      </c>
      <c r="M109" s="375"/>
      <c r="N109" s="375"/>
      <c r="O109" s="375"/>
      <c r="P109" s="375"/>
      <c r="Q109" s="375">
        <f>Table147[[#This Row],[Red target]]-Table147[[#This Row],[Red target]]*0.5</f>
        <v>0</v>
      </c>
      <c r="R109" s="375"/>
      <c r="S109" s="375"/>
      <c r="T109" s="375"/>
      <c r="U109" s="375"/>
      <c r="V109" s="375"/>
      <c r="W109" s="375"/>
      <c r="X109" s="375"/>
      <c r="Y109" s="375"/>
      <c r="Z109" s="375"/>
      <c r="AA109" s="375"/>
      <c r="AB109" s="375"/>
      <c r="AC109" s="396"/>
      <c r="AD109" s="360"/>
      <c r="AE109" s="360"/>
      <c r="AF109" s="360"/>
      <c r="AG109" s="360"/>
      <c r="AH109" s="360"/>
      <c r="AI109" s="360"/>
    </row>
    <row r="110" spans="1:35" s="386" customFormat="1" hidden="1" x14ac:dyDescent="0.25">
      <c r="A110" s="409"/>
      <c r="B110" s="406"/>
      <c r="C110" s="406"/>
      <c r="D110" s="406"/>
      <c r="E110" s="407">
        <v>2016</v>
      </c>
      <c r="F110" s="407">
        <v>2017</v>
      </c>
      <c r="G110" s="407">
        <v>2018</v>
      </c>
      <c r="H110" s="407"/>
      <c r="I110" s="407"/>
      <c r="J110" s="407"/>
      <c r="K110" s="407"/>
      <c r="L110" s="407">
        <f>Table147[[#This Row],[Ambitious target 2030]]+Table147[[#This Row],[Ambitious target 2030]]*0.5</f>
        <v>0</v>
      </c>
      <c r="M110" s="407"/>
      <c r="N110" s="407"/>
      <c r="O110" s="407"/>
      <c r="P110" s="407"/>
      <c r="Q110" s="407">
        <f>Table147[[#This Row],[Red target]]-Table147[[#This Row],[Red target]]*0.5</f>
        <v>0</v>
      </c>
      <c r="R110" s="407"/>
      <c r="S110" s="407"/>
      <c r="T110" s="407"/>
      <c r="U110" s="407"/>
      <c r="V110" s="407"/>
      <c r="W110" s="407"/>
      <c r="X110" s="407"/>
      <c r="Y110" s="407"/>
      <c r="Z110" s="407"/>
      <c r="AA110" s="407"/>
      <c r="AB110" s="407"/>
      <c r="AC110" s="413"/>
    </row>
    <row r="111" spans="1:35" x14ac:dyDescent="0.25">
      <c r="A111" s="418" t="s">
        <v>556</v>
      </c>
      <c r="B111" s="437" t="s">
        <v>552</v>
      </c>
      <c r="C111" s="437" t="s">
        <v>553</v>
      </c>
      <c r="D111" s="436" t="s">
        <v>904</v>
      </c>
      <c r="E111" s="420">
        <v>43.364129249999998</v>
      </c>
      <c r="F111" s="420">
        <v>42.457934940000001</v>
      </c>
      <c r="G111" s="420">
        <v>42.040219409999999</v>
      </c>
      <c r="H111" s="421">
        <v>2016</v>
      </c>
      <c r="I111" s="421">
        <v>43.364129249999998</v>
      </c>
      <c r="J111" s="421">
        <v>2015</v>
      </c>
      <c r="K111" s="411">
        <v>43.222799999999999</v>
      </c>
      <c r="L111" s="411">
        <f>Table147[[#This Row],[Ambitious target 2030]]+Table147[[#This Row],[Ambitious target 2030]]*0.5</f>
        <v>41.328599999999994</v>
      </c>
      <c r="M111" s="421">
        <f>AVERAGE(G117:G121)*10</f>
        <v>27.552399999999999</v>
      </c>
      <c r="N111" s="421"/>
      <c r="O111" s="421">
        <f>(M111-K111)*0.5+K111</f>
        <v>35.387599999999999</v>
      </c>
      <c r="P111" s="421"/>
      <c r="Q111" s="421">
        <f>Table147[[#This Row],[Red target]]+Table147[[#This Row],[Red target]]*0.5</f>
        <v>64.834199999999996</v>
      </c>
      <c r="R111" s="421"/>
      <c r="S111" s="421"/>
      <c r="T111" s="421"/>
      <c r="U111" s="421"/>
      <c r="V111" s="421"/>
      <c r="W111" s="421"/>
      <c r="X111" s="421"/>
      <c r="Y111" s="421"/>
      <c r="Z111" s="421">
        <f>K111</f>
        <v>43.222799999999999</v>
      </c>
      <c r="AA111" s="421" t="s">
        <v>978</v>
      </c>
      <c r="AB111" s="421" t="s">
        <v>1163</v>
      </c>
      <c r="AC111" s="419" t="s">
        <v>707</v>
      </c>
      <c r="AD111" s="360"/>
      <c r="AE111" s="360"/>
      <c r="AF111" s="360"/>
      <c r="AG111" s="360"/>
      <c r="AH111" s="360"/>
      <c r="AI111" s="360"/>
    </row>
    <row r="112" spans="1:35" hidden="1" x14ac:dyDescent="0.25">
      <c r="A112" s="390"/>
      <c r="B112" s="369"/>
      <c r="C112" s="369"/>
      <c r="D112" s="369" t="s">
        <v>676</v>
      </c>
      <c r="E112" s="379">
        <v>189.37899999999999</v>
      </c>
      <c r="F112" s="380">
        <v>186.53800000000001</v>
      </c>
      <c r="G112" s="381">
        <v>183.51339999999999</v>
      </c>
      <c r="H112" s="421"/>
      <c r="I112" s="375"/>
      <c r="J112" s="375"/>
      <c r="K112" s="375"/>
      <c r="L112" s="375">
        <f>Table147[[#This Row],[Ambitious target 2030]]+Table147[[#This Row],[Ambitious target 2030]]*0.5</f>
        <v>0</v>
      </c>
      <c r="M112" s="375"/>
      <c r="N112" s="375"/>
      <c r="O112" s="375"/>
      <c r="P112" s="375"/>
      <c r="Q112" s="375">
        <f>Table147[[#This Row],[Red target]]-Table147[[#This Row],[Red target]]*0.5</f>
        <v>0</v>
      </c>
      <c r="R112" s="375"/>
      <c r="S112" s="375"/>
      <c r="T112" s="375"/>
      <c r="U112" s="375"/>
      <c r="V112" s="375"/>
      <c r="W112" s="375"/>
      <c r="X112" s="375"/>
      <c r="Y112" s="375"/>
      <c r="Z112" s="375"/>
      <c r="AA112" s="375"/>
      <c r="AB112" s="375"/>
      <c r="AC112" s="396"/>
      <c r="AD112" s="360"/>
      <c r="AE112" s="360"/>
      <c r="AF112" s="360"/>
      <c r="AG112" s="360"/>
      <c r="AH112" s="360"/>
      <c r="AI112" s="360"/>
    </row>
    <row r="113" spans="1:35" hidden="1" x14ac:dyDescent="0.25">
      <c r="A113" s="390"/>
      <c r="B113" s="369"/>
      <c r="C113" s="369"/>
      <c r="D113" s="369" t="s">
        <v>710</v>
      </c>
      <c r="E113" s="379">
        <v>171.08260000000001</v>
      </c>
      <c r="F113" s="380">
        <v>169.12700000000001</v>
      </c>
      <c r="G113" s="381">
        <v>166.86680000000001</v>
      </c>
      <c r="H113" s="421"/>
      <c r="I113" s="375"/>
      <c r="J113" s="375"/>
      <c r="K113" s="375"/>
      <c r="L113" s="375">
        <f>Table147[[#This Row],[Ambitious target 2030]]+Table147[[#This Row],[Ambitious target 2030]]*0.5</f>
        <v>0</v>
      </c>
      <c r="M113" s="375"/>
      <c r="N113" s="375"/>
      <c r="O113" s="375"/>
      <c r="P113" s="375"/>
      <c r="Q113" s="375">
        <f>Table147[[#This Row],[Red target]]-Table147[[#This Row],[Red target]]*0.5</f>
        <v>0</v>
      </c>
      <c r="R113" s="375"/>
      <c r="S113" s="375"/>
      <c r="T113" s="375"/>
      <c r="U113" s="375"/>
      <c r="V113" s="375"/>
      <c r="W113" s="375"/>
      <c r="X113" s="375"/>
      <c r="Y113" s="375"/>
      <c r="Z113" s="375"/>
      <c r="AA113" s="375"/>
      <c r="AB113" s="375"/>
      <c r="AC113" s="396"/>
      <c r="AD113" s="360"/>
      <c r="AE113" s="360"/>
      <c r="AF113" s="360"/>
      <c r="AG113" s="360"/>
      <c r="AH113" s="360"/>
      <c r="AI113" s="360"/>
    </row>
    <row r="114" spans="1:35" hidden="1" x14ac:dyDescent="0.25">
      <c r="A114" s="390"/>
      <c r="B114" s="369"/>
      <c r="C114" s="369"/>
      <c r="D114" s="369" t="s">
        <v>711</v>
      </c>
      <c r="E114" s="379">
        <v>164.51599999999999</v>
      </c>
      <c r="F114" s="380">
        <v>161.09</v>
      </c>
      <c r="G114" s="381">
        <v>157.9144</v>
      </c>
      <c r="H114" s="421"/>
      <c r="I114" s="375"/>
      <c r="J114" s="375"/>
      <c r="K114" s="375"/>
      <c r="L114" s="375">
        <f>Table147[[#This Row],[Ambitious target 2030]]+Table147[[#This Row],[Ambitious target 2030]]*0.5</f>
        <v>0</v>
      </c>
      <c r="M114" s="375"/>
      <c r="N114" s="375"/>
      <c r="O114" s="375"/>
      <c r="P114" s="375"/>
      <c r="Q114" s="375">
        <f>Table147[[#This Row],[Red target]]-Table147[[#This Row],[Red target]]*0.5</f>
        <v>0</v>
      </c>
      <c r="R114" s="375"/>
      <c r="S114" s="375"/>
      <c r="T114" s="375"/>
      <c r="U114" s="375"/>
      <c r="V114" s="375"/>
      <c r="W114" s="375"/>
      <c r="X114" s="375"/>
      <c r="Y114" s="375"/>
      <c r="Z114" s="375"/>
      <c r="AA114" s="375"/>
      <c r="AB114" s="375"/>
      <c r="AC114" s="396"/>
      <c r="AD114" s="360"/>
      <c r="AE114" s="360"/>
      <c r="AF114" s="360"/>
      <c r="AG114" s="360"/>
      <c r="AH114" s="360"/>
      <c r="AI114" s="360"/>
    </row>
    <row r="115" spans="1:35" hidden="1" x14ac:dyDescent="0.25">
      <c r="A115" s="390"/>
      <c r="B115" s="369"/>
      <c r="C115" s="369"/>
      <c r="D115" s="369" t="s">
        <v>712</v>
      </c>
      <c r="E115" s="379">
        <v>150.72980000000001</v>
      </c>
      <c r="F115" s="380">
        <v>148.626</v>
      </c>
      <c r="G115" s="381">
        <v>146.2508</v>
      </c>
      <c r="H115" s="421"/>
      <c r="I115" s="375"/>
      <c r="J115" s="375"/>
      <c r="K115" s="375"/>
      <c r="L115" s="375">
        <f>Table147[[#This Row],[Ambitious target 2030]]+Table147[[#This Row],[Ambitious target 2030]]*0.5</f>
        <v>0</v>
      </c>
      <c r="M115" s="375"/>
      <c r="N115" s="375"/>
      <c r="O115" s="375"/>
      <c r="P115" s="375"/>
      <c r="Q115" s="375">
        <f>Table147[[#This Row],[Red target]]-Table147[[#This Row],[Red target]]*0.5</f>
        <v>0</v>
      </c>
      <c r="R115" s="375"/>
      <c r="S115" s="375"/>
      <c r="T115" s="375"/>
      <c r="U115" s="375"/>
      <c r="V115" s="375"/>
      <c r="W115" s="375"/>
      <c r="X115" s="375"/>
      <c r="Y115" s="375"/>
      <c r="Z115" s="375"/>
      <c r="AA115" s="375"/>
      <c r="AB115" s="375"/>
      <c r="AC115" s="396"/>
      <c r="AD115" s="360"/>
      <c r="AE115" s="360"/>
      <c r="AF115" s="360"/>
      <c r="AG115" s="360"/>
      <c r="AH115" s="360"/>
      <c r="AI115" s="360"/>
    </row>
    <row r="116" spans="1:35" hidden="1" x14ac:dyDescent="0.25">
      <c r="A116" s="390"/>
      <c r="B116" s="369"/>
      <c r="C116" s="369"/>
      <c r="D116" s="369" t="s">
        <v>713</v>
      </c>
      <c r="E116" s="379">
        <v>136.578</v>
      </c>
      <c r="F116" s="380">
        <v>135.96199999999999</v>
      </c>
      <c r="G116" s="381">
        <v>135.56620000000001</v>
      </c>
      <c r="H116" s="421"/>
      <c r="I116" s="375"/>
      <c r="J116" s="375"/>
      <c r="K116" s="375"/>
      <c r="L116" s="375">
        <f>Table147[[#This Row],[Ambitious target 2030]]+Table147[[#This Row],[Ambitious target 2030]]*0.5</f>
        <v>0</v>
      </c>
      <c r="M116" s="375"/>
      <c r="N116" s="375"/>
      <c r="O116" s="375"/>
      <c r="P116" s="375"/>
      <c r="Q116" s="375">
        <f>Table147[[#This Row],[Red target]]-Table147[[#This Row],[Red target]]*0.5</f>
        <v>0</v>
      </c>
      <c r="R116" s="375"/>
      <c r="S116" s="375"/>
      <c r="T116" s="375"/>
      <c r="U116" s="375"/>
      <c r="V116" s="375"/>
      <c r="W116" s="375"/>
      <c r="X116" s="375"/>
      <c r="Y116" s="375"/>
      <c r="Z116" s="375"/>
      <c r="AA116" s="375"/>
      <c r="AB116" s="375"/>
      <c r="AC116" s="396"/>
      <c r="AD116" s="360"/>
      <c r="AE116" s="360"/>
      <c r="AF116" s="360"/>
      <c r="AG116" s="360"/>
      <c r="AH116" s="360"/>
      <c r="AI116" s="360"/>
    </row>
    <row r="117" spans="1:35" hidden="1" x14ac:dyDescent="0.25">
      <c r="A117" s="390"/>
      <c r="B117" s="369"/>
      <c r="C117" s="369"/>
      <c r="D117" s="369" t="s">
        <v>696</v>
      </c>
      <c r="E117" s="382">
        <v>1.4563999999999999</v>
      </c>
      <c r="F117" s="383">
        <v>1.379</v>
      </c>
      <c r="G117" s="384">
        <v>1.3204</v>
      </c>
      <c r="H117" s="421"/>
      <c r="I117" s="375"/>
      <c r="J117" s="375"/>
      <c r="K117" s="375"/>
      <c r="L117" s="375">
        <f>Table147[[#This Row],[Ambitious target 2030]]+Table147[[#This Row],[Ambitious target 2030]]*0.5</f>
        <v>0</v>
      </c>
      <c r="M117" s="375"/>
      <c r="N117" s="375"/>
      <c r="O117" s="375"/>
      <c r="P117" s="375"/>
      <c r="Q117" s="375">
        <f>Table147[[#This Row],[Red target]]-Table147[[#This Row],[Red target]]*0.5</f>
        <v>0</v>
      </c>
      <c r="R117" s="375"/>
      <c r="S117" s="375"/>
      <c r="T117" s="375"/>
      <c r="U117" s="375"/>
      <c r="V117" s="375"/>
      <c r="W117" s="375"/>
      <c r="X117" s="375"/>
      <c r="Y117" s="375"/>
      <c r="Z117" s="375"/>
      <c r="AA117" s="375"/>
      <c r="AB117" s="375"/>
      <c r="AC117" s="396"/>
      <c r="AD117" s="360"/>
      <c r="AE117" s="360"/>
      <c r="AF117" s="360"/>
      <c r="AG117" s="360"/>
      <c r="AH117" s="360"/>
      <c r="AI117" s="360"/>
    </row>
    <row r="118" spans="1:35" hidden="1" x14ac:dyDescent="0.25">
      <c r="A118" s="390"/>
      <c r="B118" s="369"/>
      <c r="C118" s="369"/>
      <c r="D118" s="369" t="s">
        <v>700</v>
      </c>
      <c r="E118" s="382">
        <v>2.911</v>
      </c>
      <c r="F118" s="383">
        <v>2.7629999999999999</v>
      </c>
      <c r="G118" s="384">
        <v>2.6438000000000001</v>
      </c>
      <c r="H118" s="421"/>
      <c r="I118" s="375"/>
      <c r="J118" s="375"/>
      <c r="K118" s="375"/>
      <c r="L118" s="375">
        <f>Table147[[#This Row],[Ambitious target 2030]]+Table147[[#This Row],[Ambitious target 2030]]*0.5</f>
        <v>0</v>
      </c>
      <c r="M118" s="375"/>
      <c r="N118" s="375"/>
      <c r="O118" s="375"/>
      <c r="P118" s="375"/>
      <c r="Q118" s="375">
        <f>Table147[[#This Row],[Red target]]-Table147[[#This Row],[Red target]]*0.5</f>
        <v>0</v>
      </c>
      <c r="R118" s="375"/>
      <c r="S118" s="375"/>
      <c r="T118" s="375"/>
      <c r="U118" s="375"/>
      <c r="V118" s="375"/>
      <c r="W118" s="375"/>
      <c r="X118" s="375"/>
      <c r="Y118" s="375"/>
      <c r="Z118" s="375"/>
      <c r="AA118" s="375"/>
      <c r="AB118" s="375"/>
      <c r="AC118" s="396"/>
      <c r="AD118" s="360"/>
      <c r="AE118" s="360"/>
      <c r="AF118" s="360"/>
      <c r="AG118" s="360"/>
      <c r="AH118" s="360"/>
      <c r="AI118" s="360"/>
    </row>
    <row r="119" spans="1:35" hidden="1" x14ac:dyDescent="0.25">
      <c r="A119" s="390"/>
      <c r="B119" s="369"/>
      <c r="C119" s="369"/>
      <c r="D119" s="369" t="s">
        <v>708</v>
      </c>
      <c r="E119" s="382">
        <v>2.7682000000000002</v>
      </c>
      <c r="F119" s="383">
        <v>2.7050000000000001</v>
      </c>
      <c r="G119" s="384">
        <v>2.6461999999999999</v>
      </c>
      <c r="H119" s="421"/>
      <c r="I119" s="375"/>
      <c r="J119" s="375"/>
      <c r="K119" s="375"/>
      <c r="L119" s="375">
        <f>Table147[[#This Row],[Ambitious target 2030]]+Table147[[#This Row],[Ambitious target 2030]]*0.5</f>
        <v>0</v>
      </c>
      <c r="M119" s="375"/>
      <c r="N119" s="375"/>
      <c r="O119" s="375"/>
      <c r="P119" s="375"/>
      <c r="Q119" s="375">
        <f>Table147[[#This Row],[Red target]]-Table147[[#This Row],[Red target]]*0.5</f>
        <v>0</v>
      </c>
      <c r="R119" s="375"/>
      <c r="S119" s="375"/>
      <c r="T119" s="375"/>
      <c r="U119" s="375"/>
      <c r="V119" s="375"/>
      <c r="W119" s="375"/>
      <c r="X119" s="375"/>
      <c r="Y119" s="375"/>
      <c r="Z119" s="375"/>
      <c r="AA119" s="375"/>
      <c r="AB119" s="375"/>
      <c r="AC119" s="396"/>
      <c r="AD119" s="360"/>
      <c r="AE119" s="360"/>
      <c r="AF119" s="360"/>
      <c r="AG119" s="360"/>
      <c r="AH119" s="360"/>
      <c r="AI119" s="360"/>
    </row>
    <row r="120" spans="1:35" hidden="1" x14ac:dyDescent="0.25">
      <c r="A120" s="390"/>
      <c r="B120" s="369"/>
      <c r="C120" s="369"/>
      <c r="D120" s="369" t="s">
        <v>702</v>
      </c>
      <c r="E120" s="382">
        <v>3.6057999999999999</v>
      </c>
      <c r="F120" s="383">
        <v>3.53</v>
      </c>
      <c r="G120" s="384">
        <v>3.5133999999999999</v>
      </c>
      <c r="H120" s="421"/>
      <c r="I120" s="375"/>
      <c r="J120" s="375"/>
      <c r="K120" s="375"/>
      <c r="L120" s="375">
        <f>Table147[[#This Row],[Ambitious target 2030]]+Table147[[#This Row],[Ambitious target 2030]]*0.5</f>
        <v>0</v>
      </c>
      <c r="M120" s="375"/>
      <c r="N120" s="375"/>
      <c r="O120" s="375"/>
      <c r="P120" s="375"/>
      <c r="Q120" s="375">
        <f>Table147[[#This Row],[Red target]]-Table147[[#This Row],[Red target]]*0.5</f>
        <v>0</v>
      </c>
      <c r="R120" s="375"/>
      <c r="S120" s="375"/>
      <c r="T120" s="375"/>
      <c r="U120" s="375"/>
      <c r="V120" s="375"/>
      <c r="W120" s="375"/>
      <c r="X120" s="375"/>
      <c r="Y120" s="375"/>
      <c r="Z120" s="375"/>
      <c r="AA120" s="375"/>
      <c r="AB120" s="375"/>
      <c r="AC120" s="396"/>
      <c r="AD120" s="360"/>
      <c r="AE120" s="360"/>
      <c r="AF120" s="360"/>
      <c r="AG120" s="360"/>
      <c r="AH120" s="360"/>
      <c r="AI120" s="360"/>
    </row>
    <row r="121" spans="1:35" hidden="1" x14ac:dyDescent="0.25">
      <c r="A121" s="390"/>
      <c r="B121" s="369"/>
      <c r="C121" s="369"/>
      <c r="D121" s="369" t="s">
        <v>709</v>
      </c>
      <c r="E121" s="382">
        <v>3.9668000000000001</v>
      </c>
      <c r="F121" s="383">
        <v>3.7759999999999998</v>
      </c>
      <c r="G121" s="384">
        <v>3.6524000000000001</v>
      </c>
      <c r="H121" s="421"/>
      <c r="I121" s="375"/>
      <c r="J121" s="375"/>
      <c r="K121" s="375"/>
      <c r="L121" s="375">
        <f>Table147[[#This Row],[Ambitious target 2030]]+Table147[[#This Row],[Ambitious target 2030]]*0.5</f>
        <v>0</v>
      </c>
      <c r="M121" s="375"/>
      <c r="N121" s="375"/>
      <c r="O121" s="375"/>
      <c r="P121" s="375"/>
      <c r="Q121" s="375">
        <f>Table147[[#This Row],[Red target]]-Table147[[#This Row],[Red target]]*0.5</f>
        <v>0</v>
      </c>
      <c r="R121" s="375"/>
      <c r="S121" s="375"/>
      <c r="T121" s="375"/>
      <c r="U121" s="375"/>
      <c r="V121" s="375"/>
      <c r="W121" s="375"/>
      <c r="X121" s="375"/>
      <c r="Y121" s="375"/>
      <c r="Z121" s="375"/>
      <c r="AA121" s="375"/>
      <c r="AB121" s="375"/>
      <c r="AC121" s="396"/>
      <c r="AD121" s="360"/>
      <c r="AE121" s="360"/>
      <c r="AF121" s="360"/>
      <c r="AG121" s="360"/>
      <c r="AH121" s="360"/>
      <c r="AI121" s="360"/>
    </row>
    <row r="122" spans="1:35" s="386" customFormat="1" hidden="1" x14ac:dyDescent="0.25">
      <c r="A122" s="409"/>
      <c r="B122" s="406"/>
      <c r="C122" s="406"/>
      <c r="D122" s="406"/>
      <c r="E122" s="407">
        <v>2016</v>
      </c>
      <c r="F122" s="407">
        <v>2017</v>
      </c>
      <c r="G122" s="407">
        <v>2018</v>
      </c>
      <c r="H122" s="407"/>
      <c r="I122" s="407"/>
      <c r="J122" s="407"/>
      <c r="K122" s="407"/>
      <c r="L122" s="407">
        <f>Table147[[#This Row],[Ambitious target 2030]]+Table147[[#This Row],[Ambitious target 2030]]*0.5</f>
        <v>0</v>
      </c>
      <c r="M122" s="407"/>
      <c r="N122" s="407"/>
      <c r="O122" s="407"/>
      <c r="P122" s="407"/>
      <c r="Q122" s="407">
        <f>Table147[[#This Row],[Red target]]-Table147[[#This Row],[Red target]]*0.5</f>
        <v>0</v>
      </c>
      <c r="R122" s="407"/>
      <c r="S122" s="407"/>
      <c r="T122" s="407"/>
      <c r="U122" s="407"/>
      <c r="V122" s="407"/>
      <c r="W122" s="407"/>
      <c r="X122" s="407"/>
      <c r="Y122" s="407"/>
      <c r="Z122" s="407"/>
      <c r="AA122" s="407"/>
      <c r="AB122" s="407"/>
      <c r="AC122" s="413"/>
    </row>
    <row r="123" spans="1:35" x14ac:dyDescent="0.25">
      <c r="A123" s="418" t="s">
        <v>559</v>
      </c>
      <c r="B123" s="437" t="s">
        <v>917</v>
      </c>
      <c r="C123" s="437" t="s">
        <v>473</v>
      </c>
      <c r="D123" s="436" t="s">
        <v>904</v>
      </c>
      <c r="E123" s="420">
        <v>17.364519999999999</v>
      </c>
      <c r="F123" s="420">
        <v>17.212980000000002</v>
      </c>
      <c r="G123" s="420">
        <v>17.122129999999999</v>
      </c>
      <c r="H123" s="421">
        <v>2016</v>
      </c>
      <c r="I123" s="421">
        <v>17.364519999999999</v>
      </c>
      <c r="J123" s="421">
        <v>2015</v>
      </c>
      <c r="K123" s="411">
        <v>15.093299999999999</v>
      </c>
      <c r="L123" s="411">
        <f>Table147[[#This Row],[Ambitious target 2030]]+Table147[[#This Row],[Ambitious target 2030]]*0.5</f>
        <v>13.023389999999999</v>
      </c>
      <c r="M123" s="421">
        <f>Table147[[#This Row],[Data reference value]]*0.5</f>
        <v>8.6822599999999994</v>
      </c>
      <c r="N123" s="421"/>
      <c r="O123" s="421">
        <f>(M123-K123)*0.5+K123</f>
        <v>11.887779999999999</v>
      </c>
      <c r="P123" s="421"/>
      <c r="Q123" s="421">
        <f>Table147[[#This Row],[Red target]]+Table147[[#This Row],[Red target]]*0.5</f>
        <v>22.639949999999999</v>
      </c>
      <c r="R123" s="421"/>
      <c r="S123" s="421"/>
      <c r="T123" s="421"/>
      <c r="U123" s="421"/>
      <c r="V123" s="421"/>
      <c r="W123" s="421"/>
      <c r="X123" s="421"/>
      <c r="Y123" s="421"/>
      <c r="Z123" s="421">
        <f>K123</f>
        <v>15.093299999999999</v>
      </c>
      <c r="AA123" s="421" t="s">
        <v>982</v>
      </c>
      <c r="AB123" s="421" t="s">
        <v>1164</v>
      </c>
      <c r="AC123" s="419" t="s">
        <v>783</v>
      </c>
      <c r="AD123" s="360"/>
      <c r="AE123" s="360"/>
      <c r="AF123" s="360"/>
      <c r="AG123" s="360"/>
      <c r="AH123" s="360"/>
      <c r="AI123" s="360"/>
    </row>
    <row r="124" spans="1:35" hidden="1" x14ac:dyDescent="0.25">
      <c r="A124" s="390"/>
      <c r="B124" s="369"/>
      <c r="C124" s="369"/>
      <c r="D124" s="369" t="s">
        <v>710</v>
      </c>
      <c r="E124" s="379">
        <v>45.827199999999998</v>
      </c>
      <c r="F124" s="380">
        <v>45.563699999999997</v>
      </c>
      <c r="G124" s="381">
        <v>50.707900000000002</v>
      </c>
      <c r="H124" s="421"/>
      <c r="I124" s="375"/>
      <c r="J124" s="375"/>
      <c r="K124" s="375"/>
      <c r="L124" s="375">
        <f>Table147[[#This Row],[Ambitious target 2030]]+Table147[[#This Row],[Ambitious target 2030]]*0.5</f>
        <v>0</v>
      </c>
      <c r="M124" s="375"/>
      <c r="N124" s="375"/>
      <c r="O124" s="375"/>
      <c r="P124" s="375"/>
      <c r="Q124" s="375">
        <f>Table147[[#This Row],[Red target]]-Table147[[#This Row],[Red target]]*0.5</f>
        <v>0</v>
      </c>
      <c r="R124" s="375"/>
      <c r="S124" s="375"/>
      <c r="T124" s="375"/>
      <c r="U124" s="375"/>
      <c r="V124" s="375"/>
      <c r="W124" s="375"/>
      <c r="X124" s="375"/>
      <c r="Y124" s="375"/>
      <c r="Z124" s="375"/>
      <c r="AA124" s="375"/>
      <c r="AB124" s="375"/>
      <c r="AC124" s="396"/>
      <c r="AD124" s="360"/>
      <c r="AE124" s="360"/>
      <c r="AF124" s="360"/>
      <c r="AG124" s="360"/>
      <c r="AH124" s="360"/>
      <c r="AI124" s="360"/>
    </row>
    <row r="125" spans="1:35" hidden="1" x14ac:dyDescent="0.25">
      <c r="A125" s="390"/>
      <c r="B125" s="369"/>
      <c r="C125" s="369"/>
      <c r="D125" s="369" t="s">
        <v>785</v>
      </c>
      <c r="E125" s="379">
        <v>0</v>
      </c>
      <c r="F125" s="380">
        <v>44.997500000000002</v>
      </c>
      <c r="G125" s="381">
        <v>44.901299999999999</v>
      </c>
      <c r="H125" s="421"/>
      <c r="I125" s="375"/>
      <c r="J125" s="375"/>
      <c r="K125" s="375"/>
      <c r="L125" s="375">
        <f>Table147[[#This Row],[Ambitious target 2030]]+Table147[[#This Row],[Ambitious target 2030]]*0.5</f>
        <v>0</v>
      </c>
      <c r="M125" s="375"/>
      <c r="N125" s="375"/>
      <c r="O125" s="375"/>
      <c r="P125" s="375"/>
      <c r="Q125" s="375">
        <f>Table147[[#This Row],[Red target]]-Table147[[#This Row],[Red target]]*0.5</f>
        <v>0</v>
      </c>
      <c r="R125" s="375"/>
      <c r="S125" s="375"/>
      <c r="T125" s="375"/>
      <c r="U125" s="375"/>
      <c r="V125" s="375"/>
      <c r="W125" s="375"/>
      <c r="X125" s="375"/>
      <c r="Y125" s="375"/>
      <c r="Z125" s="375"/>
      <c r="AA125" s="375"/>
      <c r="AB125" s="375"/>
      <c r="AC125" s="396"/>
      <c r="AD125" s="360"/>
      <c r="AE125" s="360"/>
      <c r="AF125" s="360"/>
      <c r="AG125" s="360"/>
      <c r="AH125" s="360"/>
      <c r="AI125" s="360"/>
    </row>
    <row r="126" spans="1:35" hidden="1" x14ac:dyDescent="0.25">
      <c r="A126" s="390"/>
      <c r="B126" s="369"/>
      <c r="C126" s="369"/>
      <c r="D126" s="369" t="s">
        <v>782</v>
      </c>
      <c r="E126" s="379">
        <v>40.0608</v>
      </c>
      <c r="F126" s="380">
        <v>38.498800000000003</v>
      </c>
      <c r="G126" s="381">
        <v>36.266800000000003</v>
      </c>
      <c r="H126" s="421"/>
      <c r="I126" s="375"/>
      <c r="J126" s="375"/>
      <c r="K126" s="375"/>
      <c r="L126" s="375">
        <f>Table147[[#This Row],[Ambitious target 2030]]+Table147[[#This Row],[Ambitious target 2030]]*0.5</f>
        <v>0</v>
      </c>
      <c r="M126" s="375"/>
      <c r="N126" s="375"/>
      <c r="O126" s="375"/>
      <c r="P126" s="375"/>
      <c r="Q126" s="375">
        <f>Table147[[#This Row],[Red target]]-Table147[[#This Row],[Red target]]*0.5</f>
        <v>0</v>
      </c>
      <c r="R126" s="375"/>
      <c r="S126" s="375"/>
      <c r="T126" s="375"/>
      <c r="U126" s="375"/>
      <c r="V126" s="375"/>
      <c r="W126" s="375"/>
      <c r="X126" s="375"/>
      <c r="Y126" s="375"/>
      <c r="Z126" s="375"/>
      <c r="AA126" s="375"/>
      <c r="AB126" s="375"/>
      <c r="AC126" s="396"/>
      <c r="AD126" s="360"/>
      <c r="AE126" s="360"/>
      <c r="AF126" s="360"/>
      <c r="AG126" s="360"/>
      <c r="AH126" s="360"/>
      <c r="AI126" s="360"/>
    </row>
    <row r="127" spans="1:35" hidden="1" x14ac:dyDescent="0.25">
      <c r="A127" s="390"/>
      <c r="B127" s="369"/>
      <c r="C127" s="369"/>
      <c r="D127" s="369" t="s">
        <v>786</v>
      </c>
      <c r="E127" s="379">
        <v>38.089700000000001</v>
      </c>
      <c r="F127" s="380">
        <v>38.241799999999998</v>
      </c>
      <c r="G127" s="381">
        <v>35.1815</v>
      </c>
      <c r="H127" s="421"/>
      <c r="I127" s="375"/>
      <c r="J127" s="375"/>
      <c r="K127" s="375"/>
      <c r="L127" s="375">
        <f>Table147[[#This Row],[Ambitious target 2030]]+Table147[[#This Row],[Ambitious target 2030]]*0.5</f>
        <v>0</v>
      </c>
      <c r="M127" s="375"/>
      <c r="N127" s="375"/>
      <c r="O127" s="375"/>
      <c r="P127" s="375"/>
      <c r="Q127" s="375">
        <f>Table147[[#This Row],[Red target]]-Table147[[#This Row],[Red target]]*0.5</f>
        <v>0</v>
      </c>
      <c r="R127" s="375"/>
      <c r="S127" s="375"/>
      <c r="T127" s="375"/>
      <c r="U127" s="375"/>
      <c r="V127" s="375"/>
      <c r="W127" s="375"/>
      <c r="X127" s="375"/>
      <c r="Y127" s="375"/>
      <c r="Z127" s="375"/>
      <c r="AA127" s="375"/>
      <c r="AB127" s="375"/>
      <c r="AC127" s="396"/>
      <c r="AD127" s="360"/>
      <c r="AE127" s="360"/>
      <c r="AF127" s="360"/>
      <c r="AG127" s="360"/>
      <c r="AH127" s="360"/>
      <c r="AI127" s="360"/>
    </row>
    <row r="128" spans="1:35" hidden="1" x14ac:dyDescent="0.25">
      <c r="A128" s="390"/>
      <c r="B128" s="369"/>
      <c r="C128" s="369"/>
      <c r="D128" s="369" t="s">
        <v>781</v>
      </c>
      <c r="E128" s="379">
        <v>40.281599999999997</v>
      </c>
      <c r="F128" s="380">
        <v>37.007899999999999</v>
      </c>
      <c r="G128" s="381">
        <v>33.8459</v>
      </c>
      <c r="H128" s="421"/>
      <c r="I128" s="375"/>
      <c r="J128" s="375"/>
      <c r="K128" s="375"/>
      <c r="L128" s="375">
        <f>Table147[[#This Row],[Ambitious target 2030]]+Table147[[#This Row],[Ambitious target 2030]]*0.5</f>
        <v>0</v>
      </c>
      <c r="M128" s="375"/>
      <c r="N128" s="375"/>
      <c r="O128" s="375"/>
      <c r="P128" s="375"/>
      <c r="Q128" s="375">
        <f>Table147[[#This Row],[Red target]]-Table147[[#This Row],[Red target]]*0.5</f>
        <v>0</v>
      </c>
      <c r="R128" s="375"/>
      <c r="S128" s="375"/>
      <c r="T128" s="375"/>
      <c r="U128" s="375"/>
      <c r="V128" s="375"/>
      <c r="W128" s="375"/>
      <c r="X128" s="375"/>
      <c r="Y128" s="375"/>
      <c r="Z128" s="375"/>
      <c r="AA128" s="375"/>
      <c r="AB128" s="375"/>
      <c r="AC128" s="396"/>
      <c r="AD128" s="360"/>
      <c r="AE128" s="360"/>
      <c r="AF128" s="360"/>
      <c r="AG128" s="360"/>
      <c r="AH128" s="360"/>
      <c r="AI128" s="360"/>
    </row>
    <row r="129" spans="1:35" hidden="1" x14ac:dyDescent="0.25">
      <c r="A129" s="390"/>
      <c r="B129" s="369"/>
      <c r="C129" s="369"/>
      <c r="D129" s="369" t="s">
        <v>702</v>
      </c>
      <c r="E129" s="382">
        <v>4.7800000000000002E-2</v>
      </c>
      <c r="F129" s="383">
        <v>4.9700000000000001E-2</v>
      </c>
      <c r="G129" s="384"/>
      <c r="H129" s="421"/>
      <c r="I129" s="375"/>
      <c r="J129" s="375"/>
      <c r="K129" s="375"/>
      <c r="L129" s="375">
        <f>Table147[[#This Row],[Ambitious target 2030]]+Table147[[#This Row],[Ambitious target 2030]]*0.5</f>
        <v>0</v>
      </c>
      <c r="M129" s="375"/>
      <c r="N129" s="375"/>
      <c r="O129" s="375"/>
      <c r="P129" s="375"/>
      <c r="Q129" s="375">
        <f>Table147[[#This Row],[Red target]]-Table147[[#This Row],[Red target]]*0.5</f>
        <v>0</v>
      </c>
      <c r="R129" s="375"/>
      <c r="S129" s="375"/>
      <c r="T129" s="375"/>
      <c r="U129" s="375"/>
      <c r="V129" s="375"/>
      <c r="W129" s="375"/>
      <c r="X129" s="375"/>
      <c r="Y129" s="375"/>
      <c r="Z129" s="375"/>
      <c r="AA129" s="375"/>
      <c r="AB129" s="375"/>
      <c r="AC129" s="396"/>
      <c r="AD129" s="360"/>
      <c r="AE129" s="360"/>
      <c r="AF129" s="360"/>
      <c r="AG129" s="360"/>
      <c r="AH129" s="360"/>
      <c r="AI129" s="360"/>
    </row>
    <row r="130" spans="1:35" hidden="1" x14ac:dyDescent="0.25">
      <c r="A130" s="390"/>
      <c r="B130" s="369"/>
      <c r="C130" s="369"/>
      <c r="D130" s="369" t="s">
        <v>681</v>
      </c>
      <c r="E130" s="382">
        <v>0.15859999999999999</v>
      </c>
      <c r="F130" s="383">
        <v>0.216</v>
      </c>
      <c r="G130" s="384"/>
      <c r="H130" s="421"/>
      <c r="I130" s="375"/>
      <c r="J130" s="375"/>
      <c r="K130" s="375"/>
      <c r="L130" s="375">
        <f>Table147[[#This Row],[Ambitious target 2030]]+Table147[[#This Row],[Ambitious target 2030]]*0.5</f>
        <v>0</v>
      </c>
      <c r="M130" s="375"/>
      <c r="N130" s="375"/>
      <c r="O130" s="375"/>
      <c r="P130" s="375"/>
      <c r="Q130" s="375">
        <f>Table147[[#This Row],[Red target]]-Table147[[#This Row],[Red target]]*0.5</f>
        <v>0</v>
      </c>
      <c r="R130" s="375"/>
      <c r="S130" s="375"/>
      <c r="T130" s="375"/>
      <c r="U130" s="375"/>
      <c r="V130" s="375"/>
      <c r="W130" s="375"/>
      <c r="X130" s="375"/>
      <c r="Y130" s="375"/>
      <c r="Z130" s="375"/>
      <c r="AA130" s="375"/>
      <c r="AB130" s="375"/>
      <c r="AC130" s="396"/>
      <c r="AD130" s="360"/>
      <c r="AE130" s="360"/>
      <c r="AF130" s="360"/>
      <c r="AG130" s="360"/>
      <c r="AH130" s="360"/>
      <c r="AI130" s="360"/>
    </row>
    <row r="131" spans="1:35" hidden="1" x14ac:dyDescent="0.25">
      <c r="A131" s="390"/>
      <c r="B131" s="369"/>
      <c r="C131" s="369"/>
      <c r="D131" s="369" t="s">
        <v>679</v>
      </c>
      <c r="E131" s="382">
        <v>1.2515000000000001</v>
      </c>
      <c r="F131" s="383">
        <v>0.64580000000000004</v>
      </c>
      <c r="G131" s="384"/>
      <c r="H131" s="421"/>
      <c r="I131" s="375"/>
      <c r="J131" s="375"/>
      <c r="K131" s="375"/>
      <c r="L131" s="375">
        <f>Table147[[#This Row],[Ambitious target 2030]]+Table147[[#This Row],[Ambitious target 2030]]*0.5</f>
        <v>0</v>
      </c>
      <c r="M131" s="375"/>
      <c r="N131" s="375"/>
      <c r="O131" s="375"/>
      <c r="P131" s="375"/>
      <c r="Q131" s="375">
        <f>Table147[[#This Row],[Red target]]-Table147[[#This Row],[Red target]]*0.5</f>
        <v>0</v>
      </c>
      <c r="R131" s="375"/>
      <c r="S131" s="375"/>
      <c r="T131" s="375"/>
      <c r="U131" s="375"/>
      <c r="V131" s="375"/>
      <c r="W131" s="375"/>
      <c r="X131" s="375"/>
      <c r="Y131" s="375"/>
      <c r="Z131" s="375"/>
      <c r="AA131" s="375"/>
      <c r="AB131" s="375"/>
      <c r="AC131" s="396"/>
      <c r="AD131" s="360"/>
      <c r="AE131" s="360"/>
      <c r="AF131" s="360"/>
      <c r="AG131" s="360"/>
      <c r="AH131" s="360"/>
      <c r="AI131" s="360"/>
    </row>
    <row r="132" spans="1:35" hidden="1" x14ac:dyDescent="0.25">
      <c r="A132" s="390"/>
      <c r="B132" s="369"/>
      <c r="C132" s="369"/>
      <c r="D132" s="369" t="s">
        <v>774</v>
      </c>
      <c r="E132" s="382">
        <v>0.79800000000000004</v>
      </c>
      <c r="F132" s="383">
        <v>0.68420000000000003</v>
      </c>
      <c r="G132" s="384"/>
      <c r="H132" s="421"/>
      <c r="I132" s="375"/>
      <c r="J132" s="375"/>
      <c r="K132" s="375"/>
      <c r="L132" s="375">
        <f>Table147[[#This Row],[Ambitious target 2030]]+Table147[[#This Row],[Ambitious target 2030]]*0.5</f>
        <v>0</v>
      </c>
      <c r="M132" s="375"/>
      <c r="N132" s="375"/>
      <c r="O132" s="375"/>
      <c r="P132" s="375"/>
      <c r="Q132" s="375">
        <f>Table147[[#This Row],[Red target]]-Table147[[#This Row],[Red target]]*0.5</f>
        <v>0</v>
      </c>
      <c r="R132" s="375"/>
      <c r="S132" s="375"/>
      <c r="T132" s="375"/>
      <c r="U132" s="375"/>
      <c r="V132" s="375"/>
      <c r="W132" s="375"/>
      <c r="X132" s="375"/>
      <c r="Y132" s="375"/>
      <c r="Z132" s="375"/>
      <c r="AA132" s="375"/>
      <c r="AB132" s="375"/>
      <c r="AC132" s="396"/>
      <c r="AD132" s="360"/>
      <c r="AE132" s="360"/>
      <c r="AF132" s="360"/>
      <c r="AG132" s="360"/>
      <c r="AH132" s="360"/>
      <c r="AI132" s="360"/>
    </row>
    <row r="133" spans="1:35" hidden="1" x14ac:dyDescent="0.25">
      <c r="A133" s="390"/>
      <c r="B133" s="369"/>
      <c r="C133" s="369"/>
      <c r="D133" s="369" t="s">
        <v>787</v>
      </c>
      <c r="E133" s="382">
        <v>1.4164000000000001</v>
      </c>
      <c r="F133" s="383">
        <v>0.71919999999999995</v>
      </c>
      <c r="G133" s="384"/>
      <c r="H133" s="421"/>
      <c r="I133" s="375"/>
      <c r="J133" s="375"/>
      <c r="K133" s="375"/>
      <c r="L133" s="375">
        <f>Table147[[#This Row],[Ambitious target 2030]]+Table147[[#This Row],[Ambitious target 2030]]*0.5</f>
        <v>0</v>
      </c>
      <c r="M133" s="375"/>
      <c r="N133" s="375"/>
      <c r="O133" s="375"/>
      <c r="P133" s="375"/>
      <c r="Q133" s="375">
        <f>Table147[[#This Row],[Red target]]-Table147[[#This Row],[Red target]]*0.5</f>
        <v>0</v>
      </c>
      <c r="R133" s="375"/>
      <c r="S133" s="375"/>
      <c r="T133" s="375"/>
      <c r="U133" s="375"/>
      <c r="V133" s="375"/>
      <c r="W133" s="375"/>
      <c r="X133" s="375"/>
      <c r="Y133" s="375"/>
      <c r="Z133" s="375"/>
      <c r="AA133" s="375"/>
      <c r="AB133" s="375"/>
      <c r="AC133" s="396"/>
      <c r="AD133" s="360"/>
      <c r="AE133" s="360"/>
      <c r="AF133" s="360"/>
      <c r="AG133" s="360"/>
      <c r="AH133" s="360"/>
      <c r="AI133" s="360"/>
    </row>
    <row r="134" spans="1:35" s="386" customFormat="1" hidden="1" x14ac:dyDescent="0.25">
      <c r="A134" s="409"/>
      <c r="B134" s="406"/>
      <c r="C134" s="406"/>
      <c r="D134" s="406"/>
      <c r="E134" s="407">
        <v>2016</v>
      </c>
      <c r="F134" s="407">
        <v>2017</v>
      </c>
      <c r="G134" s="407">
        <v>2018</v>
      </c>
      <c r="H134" s="407"/>
      <c r="I134" s="407"/>
      <c r="J134" s="407"/>
      <c r="K134" s="407"/>
      <c r="L134" s="407">
        <f>Table147[[#This Row],[Ambitious target 2030]]+Table147[[#This Row],[Ambitious target 2030]]*0.5</f>
        <v>0</v>
      </c>
      <c r="M134" s="407"/>
      <c r="N134" s="407"/>
      <c r="O134" s="407"/>
      <c r="P134" s="407"/>
      <c r="Q134" s="407">
        <f>Table147[[#This Row],[Red target]]-Table147[[#This Row],[Red target]]*0.5</f>
        <v>0</v>
      </c>
      <c r="R134" s="407"/>
      <c r="S134" s="407"/>
      <c r="T134" s="407"/>
      <c r="U134" s="407"/>
      <c r="V134" s="407"/>
      <c r="W134" s="407"/>
      <c r="X134" s="407"/>
      <c r="Y134" s="407"/>
      <c r="Z134" s="407"/>
      <c r="AA134" s="407"/>
      <c r="AB134" s="407"/>
      <c r="AC134" s="413"/>
    </row>
    <row r="135" spans="1:35" x14ac:dyDescent="0.25">
      <c r="A135" s="418" t="s">
        <v>566</v>
      </c>
      <c r="B135" s="437" t="s">
        <v>562</v>
      </c>
      <c r="C135" s="437" t="s">
        <v>219</v>
      </c>
      <c r="D135" s="436" t="s">
        <v>904</v>
      </c>
      <c r="E135" s="420">
        <v>8.4</v>
      </c>
      <c r="F135" s="420">
        <v>8.4</v>
      </c>
      <c r="G135" s="420">
        <v>8.4</v>
      </c>
      <c r="H135" s="421">
        <v>2016</v>
      </c>
      <c r="I135" s="421">
        <v>8.4</v>
      </c>
      <c r="J135" s="421">
        <v>2015</v>
      </c>
      <c r="K135" s="411">
        <v>7.61564</v>
      </c>
      <c r="L135" s="411">
        <v>15</v>
      </c>
      <c r="M135" s="421">
        <f>AVERAGE(G136:G140)*0.8</f>
        <v>10.752000000000002</v>
      </c>
      <c r="N135" s="421"/>
      <c r="O135" s="421">
        <f>(M135-K135)*0.5+K135</f>
        <v>9.1838200000000008</v>
      </c>
      <c r="P135" s="421"/>
      <c r="Q135" s="421">
        <f>Table147[[#This Row],[Red target]]-Table147[[#This Row],[Red target]]*0.5</f>
        <v>3.80782</v>
      </c>
      <c r="R135" s="421"/>
      <c r="S135" s="421"/>
      <c r="T135" s="421"/>
      <c r="U135" s="421"/>
      <c r="V135" s="421"/>
      <c r="W135" s="421"/>
      <c r="X135" s="421"/>
      <c r="Y135" s="421"/>
      <c r="Z135" s="421">
        <f>K135</f>
        <v>7.61564</v>
      </c>
      <c r="AA135" s="421" t="s">
        <v>978</v>
      </c>
      <c r="AB135" s="421" t="s">
        <v>1165</v>
      </c>
      <c r="AC135" s="419" t="s">
        <v>723</v>
      </c>
      <c r="AD135" s="360"/>
      <c r="AE135" s="360"/>
      <c r="AF135" s="360"/>
      <c r="AG135" s="360"/>
      <c r="AH135" s="360"/>
      <c r="AI135" s="360"/>
    </row>
    <row r="136" spans="1:35" hidden="1" x14ac:dyDescent="0.25">
      <c r="A136" s="390"/>
      <c r="B136" s="369"/>
      <c r="C136" s="369"/>
      <c r="D136" s="369" t="s">
        <v>724</v>
      </c>
      <c r="E136" s="379">
        <v>14.1</v>
      </c>
      <c r="F136" s="380">
        <v>14.1</v>
      </c>
      <c r="G136" s="381">
        <v>14.1</v>
      </c>
      <c r="H136" s="421"/>
      <c r="I136" s="375"/>
      <c r="J136" s="375"/>
      <c r="K136" s="375"/>
      <c r="L136" s="375">
        <f>Table147[[#This Row],[Ambitious target 2030]]+Table147[[#This Row],[Ambitious target 2030]]*0.5</f>
        <v>0</v>
      </c>
      <c r="M136" s="375"/>
      <c r="N136" s="375"/>
      <c r="O136" s="375"/>
      <c r="P136" s="375"/>
      <c r="Q136" s="375">
        <f>Table147[[#This Row],[Red target]]-Table147[[#This Row],[Red target]]*0.5</f>
        <v>0</v>
      </c>
      <c r="R136" s="375"/>
      <c r="S136" s="375"/>
      <c r="T136" s="375"/>
      <c r="U136" s="375"/>
      <c r="V136" s="375"/>
      <c r="W136" s="375"/>
      <c r="X136" s="375"/>
      <c r="Y136" s="375"/>
      <c r="Z136" s="375"/>
      <c r="AA136" s="375"/>
      <c r="AB136" s="375"/>
      <c r="AC136" s="396"/>
      <c r="AD136" s="360"/>
      <c r="AE136" s="360"/>
      <c r="AF136" s="360"/>
      <c r="AG136" s="360"/>
      <c r="AH136" s="360"/>
      <c r="AI136" s="360"/>
    </row>
    <row r="137" spans="1:35" hidden="1" x14ac:dyDescent="0.25">
      <c r="A137" s="390"/>
      <c r="B137" s="369"/>
      <c r="C137" s="369"/>
      <c r="D137" s="369" t="s">
        <v>725</v>
      </c>
      <c r="E137" s="379">
        <v>13.4</v>
      </c>
      <c r="F137" s="380">
        <v>13.4</v>
      </c>
      <c r="G137" s="381">
        <v>13.4</v>
      </c>
      <c r="H137" s="421"/>
      <c r="I137" s="375"/>
      <c r="J137" s="375"/>
      <c r="K137" s="375"/>
      <c r="L137" s="375">
        <f>Table147[[#This Row],[Ambitious target 2030]]+Table147[[#This Row],[Ambitious target 2030]]*0.5</f>
        <v>0</v>
      </c>
      <c r="M137" s="375"/>
      <c r="N137" s="375"/>
      <c r="O137" s="375"/>
      <c r="P137" s="375"/>
      <c r="Q137" s="375">
        <f>Table147[[#This Row],[Red target]]-Table147[[#This Row],[Red target]]*0.5</f>
        <v>0</v>
      </c>
      <c r="R137" s="375"/>
      <c r="S137" s="375"/>
      <c r="T137" s="375"/>
      <c r="U137" s="375"/>
      <c r="V137" s="375"/>
      <c r="W137" s="375"/>
      <c r="X137" s="375"/>
      <c r="Y137" s="375"/>
      <c r="Z137" s="375"/>
      <c r="AA137" s="375"/>
      <c r="AB137" s="375"/>
      <c r="AC137" s="396"/>
      <c r="AD137" s="360"/>
      <c r="AE137" s="360"/>
      <c r="AF137" s="360"/>
      <c r="AG137" s="360"/>
      <c r="AH137" s="360"/>
      <c r="AI137" s="360"/>
    </row>
    <row r="138" spans="1:35" hidden="1" x14ac:dyDescent="0.25">
      <c r="A138" s="390"/>
      <c r="B138" s="369"/>
      <c r="C138" s="369"/>
      <c r="D138" s="369" t="s">
        <v>726</v>
      </c>
      <c r="E138" s="379">
        <v>13.4</v>
      </c>
      <c r="F138" s="380">
        <v>13.4</v>
      </c>
      <c r="G138" s="381">
        <v>13.4</v>
      </c>
      <c r="H138" s="421"/>
      <c r="I138" s="375"/>
      <c r="J138" s="375"/>
      <c r="K138" s="375"/>
      <c r="L138" s="375">
        <f>Table147[[#This Row],[Ambitious target 2030]]+Table147[[#This Row],[Ambitious target 2030]]*0.5</f>
        <v>0</v>
      </c>
      <c r="M138" s="375"/>
      <c r="N138" s="375"/>
      <c r="O138" s="375"/>
      <c r="P138" s="375"/>
      <c r="Q138" s="375">
        <f>Table147[[#This Row],[Red target]]-Table147[[#This Row],[Red target]]*0.5</f>
        <v>0</v>
      </c>
      <c r="R138" s="375"/>
      <c r="S138" s="375"/>
      <c r="T138" s="375"/>
      <c r="U138" s="375"/>
      <c r="V138" s="375"/>
      <c r="W138" s="375"/>
      <c r="X138" s="375"/>
      <c r="Y138" s="375"/>
      <c r="Z138" s="375"/>
      <c r="AA138" s="375"/>
      <c r="AB138" s="375"/>
      <c r="AC138" s="396"/>
      <c r="AD138" s="360"/>
      <c r="AE138" s="360"/>
      <c r="AF138" s="360"/>
      <c r="AG138" s="360"/>
      <c r="AH138" s="360"/>
      <c r="AI138" s="360"/>
    </row>
    <row r="139" spans="1:35" hidden="1" x14ac:dyDescent="0.25">
      <c r="A139" s="390"/>
      <c r="B139" s="369"/>
      <c r="C139" s="369"/>
      <c r="D139" s="369" t="s">
        <v>727</v>
      </c>
      <c r="E139" s="379">
        <v>13.3</v>
      </c>
      <c r="F139" s="380">
        <v>13.3</v>
      </c>
      <c r="G139" s="381">
        <v>13.3</v>
      </c>
      <c r="H139" s="421"/>
      <c r="I139" s="375"/>
      <c r="J139" s="375"/>
      <c r="K139" s="375"/>
      <c r="L139" s="375">
        <f>Table147[[#This Row],[Ambitious target 2030]]+Table147[[#This Row],[Ambitious target 2030]]*0.5</f>
        <v>0</v>
      </c>
      <c r="M139" s="375"/>
      <c r="N139" s="375"/>
      <c r="O139" s="375"/>
      <c r="P139" s="375"/>
      <c r="Q139" s="375">
        <f>Table147[[#This Row],[Red target]]-Table147[[#This Row],[Red target]]*0.5</f>
        <v>0</v>
      </c>
      <c r="R139" s="375"/>
      <c r="S139" s="375"/>
      <c r="T139" s="375"/>
      <c r="U139" s="375"/>
      <c r="V139" s="375"/>
      <c r="W139" s="375"/>
      <c r="X139" s="375"/>
      <c r="Y139" s="375"/>
      <c r="Z139" s="375"/>
      <c r="AA139" s="375"/>
      <c r="AB139" s="375"/>
      <c r="AC139" s="396"/>
      <c r="AD139" s="360"/>
      <c r="AE139" s="360"/>
      <c r="AF139" s="360"/>
      <c r="AG139" s="360"/>
      <c r="AH139" s="360"/>
      <c r="AI139" s="360"/>
    </row>
    <row r="140" spans="1:35" hidden="1" x14ac:dyDescent="0.25">
      <c r="A140" s="390"/>
      <c r="B140" s="369"/>
      <c r="C140" s="369"/>
      <c r="D140" s="369" t="s">
        <v>728</v>
      </c>
      <c r="E140" s="379">
        <v>13.1</v>
      </c>
      <c r="F140" s="380">
        <v>13</v>
      </c>
      <c r="G140" s="381">
        <v>13</v>
      </c>
      <c r="H140" s="421"/>
      <c r="I140" s="375"/>
      <c r="J140" s="375"/>
      <c r="K140" s="375"/>
      <c r="L140" s="375">
        <f>Table147[[#This Row],[Ambitious target 2030]]+Table147[[#This Row],[Ambitious target 2030]]*0.5</f>
        <v>0</v>
      </c>
      <c r="M140" s="375"/>
      <c r="N140" s="375"/>
      <c r="O140" s="375"/>
      <c r="P140" s="375"/>
      <c r="Q140" s="375">
        <f>Table147[[#This Row],[Red target]]-Table147[[#This Row],[Red target]]*0.5</f>
        <v>0</v>
      </c>
      <c r="R140" s="375"/>
      <c r="S140" s="375"/>
      <c r="T140" s="375"/>
      <c r="U140" s="375"/>
      <c r="V140" s="375"/>
      <c r="W140" s="375"/>
      <c r="X140" s="375"/>
      <c r="Y140" s="375"/>
      <c r="Z140" s="375"/>
      <c r="AA140" s="375"/>
      <c r="AB140" s="375"/>
      <c r="AC140" s="396"/>
      <c r="AD140" s="360"/>
      <c r="AE140" s="360"/>
      <c r="AF140" s="360"/>
      <c r="AG140" s="360"/>
      <c r="AH140" s="360"/>
      <c r="AI140" s="360"/>
    </row>
    <row r="141" spans="1:35" hidden="1" x14ac:dyDescent="0.25">
      <c r="A141" s="390"/>
      <c r="B141" s="369"/>
      <c r="C141" s="369"/>
      <c r="D141" s="369" t="s">
        <v>729</v>
      </c>
      <c r="E141" s="382">
        <v>1.9</v>
      </c>
      <c r="F141" s="383">
        <v>2</v>
      </c>
      <c r="G141" s="384">
        <v>2</v>
      </c>
      <c r="H141" s="421"/>
      <c r="I141" s="375"/>
      <c r="J141" s="375"/>
      <c r="K141" s="375"/>
      <c r="L141" s="375">
        <f>Table147[[#This Row],[Ambitious target 2030]]+Table147[[#This Row],[Ambitious target 2030]]*0.5</f>
        <v>0</v>
      </c>
      <c r="M141" s="375"/>
      <c r="N141" s="375"/>
      <c r="O141" s="375"/>
      <c r="P141" s="375"/>
      <c r="Q141" s="375">
        <f>Table147[[#This Row],[Red target]]-Table147[[#This Row],[Red target]]*0.5</f>
        <v>0</v>
      </c>
      <c r="R141" s="375"/>
      <c r="S141" s="375"/>
      <c r="T141" s="375"/>
      <c r="U141" s="375"/>
      <c r="V141" s="375"/>
      <c r="W141" s="375"/>
      <c r="X141" s="375"/>
      <c r="Y141" s="375"/>
      <c r="Z141" s="375"/>
      <c r="AA141" s="375"/>
      <c r="AB141" s="375"/>
      <c r="AC141" s="396"/>
      <c r="AD141" s="360"/>
      <c r="AE141" s="360"/>
      <c r="AF141" s="360"/>
      <c r="AG141" s="360"/>
      <c r="AH141" s="360"/>
      <c r="AI141" s="360"/>
    </row>
    <row r="142" spans="1:35" hidden="1" x14ac:dyDescent="0.25">
      <c r="A142" s="390"/>
      <c r="B142" s="369"/>
      <c r="C142" s="369"/>
      <c r="D142" s="369" t="s">
        <v>730</v>
      </c>
      <c r="E142" s="382">
        <v>2.4</v>
      </c>
      <c r="F142" s="383">
        <v>2.4</v>
      </c>
      <c r="G142" s="384">
        <v>2.4</v>
      </c>
      <c r="H142" s="421"/>
      <c r="I142" s="375"/>
      <c r="J142" s="375"/>
      <c r="K142" s="375"/>
      <c r="L142" s="375">
        <f>Table147[[#This Row],[Ambitious target 2030]]+Table147[[#This Row],[Ambitious target 2030]]*0.5</f>
        <v>0</v>
      </c>
      <c r="M142" s="375"/>
      <c r="N142" s="375"/>
      <c r="O142" s="375"/>
      <c r="P142" s="375"/>
      <c r="Q142" s="375">
        <f>Table147[[#This Row],[Red target]]-Table147[[#This Row],[Red target]]*0.5</f>
        <v>0</v>
      </c>
      <c r="R142" s="375"/>
      <c r="S142" s="375"/>
      <c r="T142" s="375"/>
      <c r="U142" s="375"/>
      <c r="V142" s="375"/>
      <c r="W142" s="375"/>
      <c r="X142" s="375"/>
      <c r="Y142" s="375"/>
      <c r="Z142" s="375"/>
      <c r="AA142" s="375"/>
      <c r="AB142" s="375"/>
      <c r="AC142" s="396"/>
      <c r="AD142" s="360"/>
      <c r="AE142" s="360"/>
      <c r="AF142" s="360"/>
      <c r="AG142" s="360"/>
      <c r="AH142" s="360"/>
      <c r="AI142" s="360"/>
    </row>
    <row r="143" spans="1:35" hidden="1" x14ac:dyDescent="0.25">
      <c r="A143" s="390"/>
      <c r="B143" s="369"/>
      <c r="C143" s="369"/>
      <c r="D143" s="369" t="s">
        <v>731</v>
      </c>
      <c r="E143" s="382">
        <v>2.2000000000000002</v>
      </c>
      <c r="F143" s="383">
        <v>2.4</v>
      </c>
      <c r="G143" s="384">
        <v>2.4</v>
      </c>
      <c r="H143" s="421"/>
      <c r="I143" s="375"/>
      <c r="J143" s="375"/>
      <c r="K143" s="375"/>
      <c r="L143" s="375">
        <f>Table147[[#This Row],[Ambitious target 2030]]+Table147[[#This Row],[Ambitious target 2030]]*0.5</f>
        <v>0</v>
      </c>
      <c r="M143" s="375"/>
      <c r="N143" s="375"/>
      <c r="O143" s="375"/>
      <c r="P143" s="375"/>
      <c r="Q143" s="375">
        <f>Table147[[#This Row],[Red target]]-Table147[[#This Row],[Red target]]*0.5</f>
        <v>0</v>
      </c>
      <c r="R143" s="375"/>
      <c r="S143" s="375"/>
      <c r="T143" s="375"/>
      <c r="U143" s="375"/>
      <c r="V143" s="375"/>
      <c r="W143" s="375"/>
      <c r="X143" s="375"/>
      <c r="Y143" s="375"/>
      <c r="Z143" s="375"/>
      <c r="AA143" s="375"/>
      <c r="AB143" s="375"/>
      <c r="AC143" s="396"/>
      <c r="AD143" s="360"/>
      <c r="AE143" s="360"/>
      <c r="AF143" s="360"/>
      <c r="AG143" s="360"/>
      <c r="AH143" s="360"/>
      <c r="AI143" s="360"/>
    </row>
    <row r="144" spans="1:35" hidden="1" x14ac:dyDescent="0.25">
      <c r="A144" s="390"/>
      <c r="B144" s="369"/>
      <c r="C144" s="369"/>
      <c r="D144" s="369" t="s">
        <v>732</v>
      </c>
      <c r="E144" s="382">
        <v>2.7</v>
      </c>
      <c r="F144" s="383">
        <v>2.7</v>
      </c>
      <c r="G144" s="384">
        <v>2.7</v>
      </c>
      <c r="H144" s="421"/>
      <c r="I144" s="375"/>
      <c r="J144" s="375"/>
      <c r="K144" s="375"/>
      <c r="L144" s="375">
        <f>Table147[[#This Row],[Ambitious target 2030]]+Table147[[#This Row],[Ambitious target 2030]]*0.5</f>
        <v>0</v>
      </c>
      <c r="M144" s="375"/>
      <c r="N144" s="375"/>
      <c r="O144" s="375"/>
      <c r="P144" s="375"/>
      <c r="Q144" s="375">
        <f>Table147[[#This Row],[Red target]]-Table147[[#This Row],[Red target]]*0.5</f>
        <v>0</v>
      </c>
      <c r="R144" s="375"/>
      <c r="S144" s="375"/>
      <c r="T144" s="375"/>
      <c r="U144" s="375"/>
      <c r="V144" s="375"/>
      <c r="W144" s="375"/>
      <c r="X144" s="375"/>
      <c r="Y144" s="375"/>
      <c r="Z144" s="375"/>
      <c r="AA144" s="375"/>
      <c r="AB144" s="375"/>
      <c r="AC144" s="396"/>
      <c r="AD144" s="360"/>
      <c r="AE144" s="360"/>
      <c r="AF144" s="360"/>
      <c r="AG144" s="360"/>
      <c r="AH144" s="360"/>
      <c r="AI144" s="360"/>
    </row>
    <row r="145" spans="1:35" hidden="1" x14ac:dyDescent="0.25">
      <c r="A145" s="390"/>
      <c r="B145" s="369"/>
      <c r="C145" s="369"/>
      <c r="D145" s="369" t="s">
        <v>733</v>
      </c>
      <c r="E145" s="382">
        <v>2.7</v>
      </c>
      <c r="F145" s="383">
        <v>2.8</v>
      </c>
      <c r="G145" s="384">
        <v>2.8</v>
      </c>
      <c r="H145" s="421"/>
      <c r="I145" s="375"/>
      <c r="J145" s="375"/>
      <c r="K145" s="375"/>
      <c r="L145" s="375">
        <f>Table147[[#This Row],[Ambitious target 2030]]+Table147[[#This Row],[Ambitious target 2030]]*0.5</f>
        <v>0</v>
      </c>
      <c r="M145" s="375"/>
      <c r="N145" s="375"/>
      <c r="O145" s="375"/>
      <c r="P145" s="375"/>
      <c r="Q145" s="375">
        <f>Table147[[#This Row],[Red target]]-Table147[[#This Row],[Red target]]*0.5</f>
        <v>0</v>
      </c>
      <c r="R145" s="375"/>
      <c r="S145" s="375"/>
      <c r="T145" s="375"/>
      <c r="U145" s="375"/>
      <c r="V145" s="375"/>
      <c r="W145" s="375"/>
      <c r="X145" s="375"/>
      <c r="Y145" s="375"/>
      <c r="Z145" s="375"/>
      <c r="AA145" s="375"/>
      <c r="AB145" s="375"/>
      <c r="AC145" s="396"/>
      <c r="AD145" s="360"/>
      <c r="AE145" s="360"/>
      <c r="AF145" s="360"/>
      <c r="AG145" s="360"/>
      <c r="AH145" s="360"/>
      <c r="AI145" s="360"/>
    </row>
    <row r="146" spans="1:35" s="386" customFormat="1" hidden="1" x14ac:dyDescent="0.25">
      <c r="A146" s="409"/>
      <c r="B146" s="406"/>
      <c r="C146" s="406"/>
      <c r="D146" s="406"/>
      <c r="E146" s="407"/>
      <c r="F146" s="407"/>
      <c r="G146" s="407">
        <v>2017</v>
      </c>
      <c r="H146" s="407"/>
      <c r="I146" s="407"/>
      <c r="J146" s="407"/>
      <c r="K146" s="407"/>
      <c r="L146" s="407">
        <f>Table147[[#This Row],[Ambitious target 2030]]+Table147[[#This Row],[Ambitious target 2030]]*0.5</f>
        <v>0</v>
      </c>
      <c r="M146" s="407"/>
      <c r="N146" s="407"/>
      <c r="O146" s="407"/>
      <c r="P146" s="407"/>
      <c r="Q146" s="407">
        <f>Table147[[#This Row],[Red target]]-Table147[[#This Row],[Red target]]*0.5</f>
        <v>0</v>
      </c>
      <c r="R146" s="407"/>
      <c r="S146" s="407"/>
      <c r="T146" s="407"/>
      <c r="U146" s="407"/>
      <c r="V146" s="407"/>
      <c r="W146" s="407"/>
      <c r="X146" s="407"/>
      <c r="Y146" s="407"/>
      <c r="Z146" s="407"/>
      <c r="AA146" s="407"/>
      <c r="AB146" s="407"/>
      <c r="AC146" s="413"/>
    </row>
    <row r="147" spans="1:35" x14ac:dyDescent="0.25">
      <c r="A147" s="418" t="s">
        <v>560</v>
      </c>
      <c r="B147" s="437" t="s">
        <v>561</v>
      </c>
      <c r="C147" s="437" t="s">
        <v>473</v>
      </c>
      <c r="D147" s="436" t="s">
        <v>799</v>
      </c>
      <c r="E147" s="420"/>
      <c r="F147" s="420"/>
      <c r="G147" s="420">
        <v>43.73</v>
      </c>
      <c r="H147" s="421">
        <v>2017</v>
      </c>
      <c r="I147" s="421">
        <v>43.73</v>
      </c>
      <c r="J147" s="421">
        <v>2015</v>
      </c>
      <c r="K147" s="411">
        <v>12.373100000000001</v>
      </c>
      <c r="L147" s="411">
        <v>100</v>
      </c>
      <c r="M147" s="421">
        <f>AVERAGE(G148:G152)*0.5</f>
        <v>30.431000000000001</v>
      </c>
      <c r="N147" s="421"/>
      <c r="O147" s="421">
        <f>(M147-K147)*0.5+K147</f>
        <v>21.402050000000003</v>
      </c>
      <c r="P147" s="421"/>
      <c r="Q147" s="421">
        <v>0</v>
      </c>
      <c r="R147" s="421"/>
      <c r="S147" s="421"/>
      <c r="T147" s="421"/>
      <c r="U147" s="421"/>
      <c r="V147" s="421"/>
      <c r="W147" s="421"/>
      <c r="X147" s="421"/>
      <c r="Y147" s="421"/>
      <c r="Z147" s="421">
        <f>K147</f>
        <v>12.373100000000001</v>
      </c>
      <c r="AA147" s="421" t="s">
        <v>978</v>
      </c>
      <c r="AB147" s="421" t="s">
        <v>1166</v>
      </c>
      <c r="AC147" s="419" t="s">
        <v>770</v>
      </c>
      <c r="AD147" s="360"/>
      <c r="AE147" s="360"/>
      <c r="AF147" s="360"/>
      <c r="AG147" s="360"/>
      <c r="AH147" s="360"/>
      <c r="AI147" s="360"/>
    </row>
    <row r="148" spans="1:35" hidden="1" x14ac:dyDescent="0.25">
      <c r="A148" s="390"/>
      <c r="B148" s="369"/>
      <c r="C148" s="369"/>
      <c r="D148" s="369" t="s">
        <v>771</v>
      </c>
      <c r="E148" s="379"/>
      <c r="F148" s="380"/>
      <c r="G148" s="381">
        <v>69.75</v>
      </c>
      <c r="H148" s="421"/>
      <c r="I148" s="375"/>
      <c r="J148" s="375"/>
      <c r="K148" s="375"/>
      <c r="L148" s="375">
        <f>Table147[[#This Row],[Ambitious target 2030]]+Table147[[#This Row],[Ambitious target 2030]]*0.5</f>
        <v>0</v>
      </c>
      <c r="M148" s="375"/>
      <c r="N148" s="375"/>
      <c r="O148" s="375"/>
      <c r="P148" s="375"/>
      <c r="Q148" s="375">
        <f>Table147[[#This Row],[Red target]]-Table147[[#This Row],[Red target]]*0.5</f>
        <v>0</v>
      </c>
      <c r="R148" s="375"/>
      <c r="S148" s="375"/>
      <c r="T148" s="375"/>
      <c r="U148" s="375"/>
      <c r="V148" s="375"/>
      <c r="W148" s="375"/>
      <c r="X148" s="375"/>
      <c r="Y148" s="375"/>
      <c r="Z148" s="375"/>
      <c r="AA148" s="375"/>
      <c r="AB148" s="375"/>
      <c r="AC148" s="396"/>
      <c r="AD148" s="360"/>
      <c r="AE148" s="360"/>
      <c r="AF148" s="360"/>
      <c r="AG148" s="360"/>
      <c r="AH148" s="360"/>
      <c r="AI148" s="360"/>
    </row>
    <row r="149" spans="1:35" hidden="1" x14ac:dyDescent="0.25">
      <c r="A149" s="390"/>
      <c r="B149" s="369"/>
      <c r="C149" s="369"/>
      <c r="D149" s="369" t="s">
        <v>772</v>
      </c>
      <c r="E149" s="379"/>
      <c r="F149" s="380"/>
      <c r="G149" s="381">
        <v>60.92</v>
      </c>
      <c r="H149" s="421"/>
      <c r="I149" s="375"/>
      <c r="J149" s="375"/>
      <c r="K149" s="375"/>
      <c r="L149" s="375">
        <f>Table147[[#This Row],[Ambitious target 2030]]+Table147[[#This Row],[Ambitious target 2030]]*0.5</f>
        <v>0</v>
      </c>
      <c r="M149" s="375"/>
      <c r="N149" s="375"/>
      <c r="O149" s="375"/>
      <c r="P149" s="375"/>
      <c r="Q149" s="375">
        <f>Table147[[#This Row],[Red target]]-Table147[[#This Row],[Red target]]*0.5</f>
        <v>0</v>
      </c>
      <c r="R149" s="375"/>
      <c r="S149" s="375"/>
      <c r="T149" s="375"/>
      <c r="U149" s="375"/>
      <c r="V149" s="375"/>
      <c r="W149" s="375"/>
      <c r="X149" s="375"/>
      <c r="Y149" s="375"/>
      <c r="Z149" s="375"/>
      <c r="AA149" s="375"/>
      <c r="AB149" s="375"/>
      <c r="AC149" s="396"/>
      <c r="AD149" s="360"/>
      <c r="AE149" s="360"/>
      <c r="AF149" s="360"/>
      <c r="AG149" s="360"/>
      <c r="AH149" s="360"/>
      <c r="AI149" s="360"/>
    </row>
    <row r="150" spans="1:35" hidden="1" x14ac:dyDescent="0.25">
      <c r="A150" s="390"/>
      <c r="B150" s="369"/>
      <c r="C150" s="369"/>
      <c r="D150" s="369" t="s">
        <v>715</v>
      </c>
      <c r="E150" s="379"/>
      <c r="F150" s="380"/>
      <c r="G150" s="381">
        <v>60.43</v>
      </c>
      <c r="H150" s="421"/>
      <c r="I150" s="375"/>
      <c r="J150" s="375"/>
      <c r="K150" s="375"/>
      <c r="L150" s="375">
        <f>Table147[[#This Row],[Ambitious target 2030]]+Table147[[#This Row],[Ambitious target 2030]]*0.5</f>
        <v>0</v>
      </c>
      <c r="M150" s="375"/>
      <c r="N150" s="375"/>
      <c r="O150" s="375"/>
      <c r="P150" s="375"/>
      <c r="Q150" s="375">
        <f>Table147[[#This Row],[Red target]]-Table147[[#This Row],[Red target]]*0.5</f>
        <v>0</v>
      </c>
      <c r="R150" s="375"/>
      <c r="S150" s="375"/>
      <c r="T150" s="375"/>
      <c r="U150" s="375"/>
      <c r="V150" s="375"/>
      <c r="W150" s="375"/>
      <c r="X150" s="375"/>
      <c r="Y150" s="375"/>
      <c r="Z150" s="375"/>
      <c r="AA150" s="375"/>
      <c r="AB150" s="375"/>
      <c r="AC150" s="396"/>
      <c r="AD150" s="360"/>
      <c r="AE150" s="360"/>
      <c r="AF150" s="360"/>
      <c r="AG150" s="360"/>
      <c r="AH150" s="360"/>
      <c r="AI150" s="360"/>
    </row>
    <row r="151" spans="1:35" hidden="1" x14ac:dyDescent="0.25">
      <c r="A151" s="390"/>
      <c r="B151" s="369"/>
      <c r="C151" s="369"/>
      <c r="D151" s="369" t="s">
        <v>773</v>
      </c>
      <c r="E151" s="379"/>
      <c r="F151" s="380"/>
      <c r="G151" s="381">
        <v>57.58</v>
      </c>
      <c r="H151" s="421"/>
      <c r="I151" s="375"/>
      <c r="J151" s="375"/>
      <c r="K151" s="375"/>
      <c r="L151" s="375">
        <f>Table147[[#This Row],[Ambitious target 2030]]+Table147[[#This Row],[Ambitious target 2030]]*0.5</f>
        <v>0</v>
      </c>
      <c r="M151" s="375"/>
      <c r="N151" s="375"/>
      <c r="O151" s="375"/>
      <c r="P151" s="375"/>
      <c r="Q151" s="375">
        <f>Table147[[#This Row],[Red target]]-Table147[[#This Row],[Red target]]*0.5</f>
        <v>0</v>
      </c>
      <c r="R151" s="375"/>
      <c r="S151" s="375"/>
      <c r="T151" s="375"/>
      <c r="U151" s="375"/>
      <c r="V151" s="375"/>
      <c r="W151" s="375"/>
      <c r="X151" s="375"/>
      <c r="Y151" s="375"/>
      <c r="Z151" s="375"/>
      <c r="AA151" s="375"/>
      <c r="AB151" s="375"/>
      <c r="AC151" s="396"/>
      <c r="AD151" s="360"/>
      <c r="AE151" s="360"/>
      <c r="AF151" s="360"/>
      <c r="AG151" s="360"/>
      <c r="AH151" s="360"/>
      <c r="AI151" s="360"/>
    </row>
    <row r="152" spans="1:35" hidden="1" x14ac:dyDescent="0.25">
      <c r="A152" s="390"/>
      <c r="B152" s="369"/>
      <c r="C152" s="369"/>
      <c r="D152" s="369" t="s">
        <v>774</v>
      </c>
      <c r="E152" s="379"/>
      <c r="F152" s="380"/>
      <c r="G152" s="381">
        <v>55.63</v>
      </c>
      <c r="H152" s="421"/>
      <c r="I152" s="375"/>
      <c r="J152" s="375"/>
      <c r="K152" s="375"/>
      <c r="L152" s="375">
        <f>Table147[[#This Row],[Ambitious target 2030]]+Table147[[#This Row],[Ambitious target 2030]]*0.5</f>
        <v>0</v>
      </c>
      <c r="M152" s="375"/>
      <c r="N152" s="375"/>
      <c r="O152" s="375"/>
      <c r="P152" s="375"/>
      <c r="Q152" s="375">
        <f>Table147[[#This Row],[Red target]]-Table147[[#This Row],[Red target]]*0.5</f>
        <v>0</v>
      </c>
      <c r="R152" s="375"/>
      <c r="S152" s="375"/>
      <c r="T152" s="375"/>
      <c r="U152" s="375"/>
      <c r="V152" s="375"/>
      <c r="W152" s="375"/>
      <c r="X152" s="375"/>
      <c r="Y152" s="375"/>
      <c r="Z152" s="375"/>
      <c r="AA152" s="375"/>
      <c r="AB152" s="375"/>
      <c r="AC152" s="396"/>
      <c r="AD152" s="360"/>
      <c r="AE152" s="360"/>
      <c r="AF152" s="360"/>
      <c r="AG152" s="360"/>
      <c r="AH152" s="360"/>
      <c r="AI152" s="360"/>
    </row>
    <row r="153" spans="1:35" hidden="1" x14ac:dyDescent="0.25">
      <c r="A153" s="390"/>
      <c r="B153" s="369"/>
      <c r="C153" s="369"/>
      <c r="D153" s="369" t="s">
        <v>777</v>
      </c>
      <c r="E153" s="382"/>
      <c r="F153" s="383"/>
      <c r="G153" s="384">
        <v>17.95</v>
      </c>
      <c r="H153" s="421"/>
      <c r="I153" s="375"/>
      <c r="J153" s="375"/>
      <c r="K153" s="375"/>
      <c r="L153" s="375">
        <f>Table147[[#This Row],[Ambitious target 2030]]+Table147[[#This Row],[Ambitious target 2030]]*0.5</f>
        <v>0</v>
      </c>
      <c r="M153" s="375"/>
      <c r="N153" s="375"/>
      <c r="O153" s="375"/>
      <c r="P153" s="375"/>
      <c r="Q153" s="375">
        <f>Table147[[#This Row],[Red target]]-Table147[[#This Row],[Red target]]*0.5</f>
        <v>0</v>
      </c>
      <c r="R153" s="375"/>
      <c r="S153" s="375"/>
      <c r="T153" s="375"/>
      <c r="U153" s="375"/>
      <c r="V153" s="375"/>
      <c r="W153" s="375"/>
      <c r="X153" s="375"/>
      <c r="Y153" s="375"/>
      <c r="Z153" s="375"/>
      <c r="AA153" s="375"/>
      <c r="AB153" s="375"/>
      <c r="AC153" s="396"/>
      <c r="AD153" s="360"/>
      <c r="AE153" s="360"/>
      <c r="AF153" s="360"/>
      <c r="AG153" s="360"/>
      <c r="AH153" s="360"/>
      <c r="AI153" s="360"/>
    </row>
    <row r="154" spans="1:35" hidden="1" x14ac:dyDescent="0.25">
      <c r="A154" s="390"/>
      <c r="B154" s="369"/>
      <c r="C154" s="369"/>
      <c r="D154" s="369" t="s">
        <v>778</v>
      </c>
      <c r="E154" s="382"/>
      <c r="F154" s="383"/>
      <c r="G154" s="384">
        <v>16.63</v>
      </c>
      <c r="H154" s="421"/>
      <c r="I154" s="375"/>
      <c r="J154" s="375"/>
      <c r="K154" s="375"/>
      <c r="L154" s="375">
        <f>Table147[[#This Row],[Ambitious target 2030]]+Table147[[#This Row],[Ambitious target 2030]]*0.5</f>
        <v>0</v>
      </c>
      <c r="M154" s="375"/>
      <c r="N154" s="375"/>
      <c r="O154" s="375"/>
      <c r="P154" s="375"/>
      <c r="Q154" s="375">
        <f>Table147[[#This Row],[Red target]]-Table147[[#This Row],[Red target]]*0.5</f>
        <v>0</v>
      </c>
      <c r="R154" s="375"/>
      <c r="S154" s="375"/>
      <c r="T154" s="375"/>
      <c r="U154" s="375"/>
      <c r="V154" s="375"/>
      <c r="W154" s="375"/>
      <c r="X154" s="375"/>
      <c r="Y154" s="375"/>
      <c r="Z154" s="375"/>
      <c r="AA154" s="375"/>
      <c r="AB154" s="375"/>
      <c r="AC154" s="396"/>
      <c r="AD154" s="360"/>
      <c r="AE154" s="360"/>
      <c r="AF154" s="360"/>
      <c r="AG154" s="360"/>
      <c r="AH154" s="360"/>
      <c r="AI154" s="360"/>
    </row>
    <row r="155" spans="1:35" hidden="1" x14ac:dyDescent="0.25">
      <c r="A155" s="390"/>
      <c r="B155" s="369"/>
      <c r="C155" s="369"/>
      <c r="D155" s="369" t="s">
        <v>775</v>
      </c>
      <c r="E155" s="382"/>
      <c r="F155" s="383"/>
      <c r="G155" s="384">
        <v>16.13</v>
      </c>
      <c r="H155" s="421"/>
      <c r="I155" s="375"/>
      <c r="J155" s="375"/>
      <c r="K155" s="375"/>
      <c r="L155" s="375">
        <f>Table147[[#This Row],[Ambitious target 2030]]+Table147[[#This Row],[Ambitious target 2030]]*0.5</f>
        <v>0</v>
      </c>
      <c r="M155" s="375"/>
      <c r="N155" s="375"/>
      <c r="O155" s="375"/>
      <c r="P155" s="375"/>
      <c r="Q155" s="375">
        <f>Table147[[#This Row],[Red target]]-Table147[[#This Row],[Red target]]*0.5</f>
        <v>0</v>
      </c>
      <c r="R155" s="375"/>
      <c r="S155" s="375"/>
      <c r="T155" s="375"/>
      <c r="U155" s="375"/>
      <c r="V155" s="375"/>
      <c r="W155" s="375"/>
      <c r="X155" s="375"/>
      <c r="Y155" s="375"/>
      <c r="Z155" s="375"/>
      <c r="AA155" s="375"/>
      <c r="AB155" s="375"/>
      <c r="AC155" s="396"/>
      <c r="AD155" s="360"/>
      <c r="AE155" s="360"/>
      <c r="AF155" s="360"/>
      <c r="AG155" s="360"/>
      <c r="AH155" s="360"/>
      <c r="AI155" s="360"/>
    </row>
    <row r="156" spans="1:35" hidden="1" x14ac:dyDescent="0.25">
      <c r="A156" s="390"/>
      <c r="B156" s="369"/>
      <c r="C156" s="369"/>
      <c r="D156" s="369" t="s">
        <v>691</v>
      </c>
      <c r="E156" s="382"/>
      <c r="F156" s="383"/>
      <c r="G156" s="384">
        <v>13.9</v>
      </c>
      <c r="H156" s="421"/>
      <c r="I156" s="375"/>
      <c r="J156" s="375"/>
      <c r="K156" s="375"/>
      <c r="L156" s="375">
        <f>Table147[[#This Row],[Ambitious target 2030]]+Table147[[#This Row],[Ambitious target 2030]]*0.5</f>
        <v>0</v>
      </c>
      <c r="M156" s="375"/>
      <c r="N156" s="375"/>
      <c r="O156" s="375"/>
      <c r="P156" s="375"/>
      <c r="Q156" s="375">
        <f>Table147[[#This Row],[Red target]]-Table147[[#This Row],[Red target]]*0.5</f>
        <v>0</v>
      </c>
      <c r="R156" s="375"/>
      <c r="S156" s="375"/>
      <c r="T156" s="375"/>
      <c r="U156" s="375"/>
      <c r="V156" s="375"/>
      <c r="W156" s="375"/>
      <c r="X156" s="375"/>
      <c r="Y156" s="375"/>
      <c r="Z156" s="375"/>
      <c r="AA156" s="375"/>
      <c r="AB156" s="375"/>
      <c r="AC156" s="396"/>
      <c r="AD156" s="360"/>
      <c r="AE156" s="360"/>
      <c r="AF156" s="360"/>
      <c r="AG156" s="360"/>
      <c r="AH156" s="360"/>
      <c r="AI156" s="360"/>
    </row>
    <row r="157" spans="1:35" hidden="1" x14ac:dyDescent="0.25">
      <c r="A157" s="390"/>
      <c r="B157" s="369"/>
      <c r="C157" s="369"/>
      <c r="D157" s="369" t="s">
        <v>776</v>
      </c>
      <c r="E157" s="382"/>
      <c r="F157" s="383"/>
      <c r="G157" s="384">
        <v>6.01</v>
      </c>
      <c r="H157" s="421"/>
      <c r="I157" s="375"/>
      <c r="J157" s="375"/>
      <c r="K157" s="375"/>
      <c r="L157" s="375">
        <f>Table147[[#This Row],[Ambitious target 2030]]+Table147[[#This Row],[Ambitious target 2030]]*0.5</f>
        <v>0</v>
      </c>
      <c r="M157" s="375"/>
      <c r="N157" s="375"/>
      <c r="O157" s="375"/>
      <c r="P157" s="375"/>
      <c r="Q157" s="375">
        <f>Table147[[#This Row],[Red target]]-Table147[[#This Row],[Red target]]*0.5</f>
        <v>0</v>
      </c>
      <c r="R157" s="375"/>
      <c r="S157" s="375"/>
      <c r="T157" s="375"/>
      <c r="U157" s="375"/>
      <c r="V157" s="375"/>
      <c r="W157" s="375"/>
      <c r="X157" s="375"/>
      <c r="Y157" s="375"/>
      <c r="Z157" s="375"/>
      <c r="AA157" s="375"/>
      <c r="AB157" s="375"/>
      <c r="AC157" s="396"/>
      <c r="AD157" s="360"/>
      <c r="AE157" s="360"/>
      <c r="AF157" s="360"/>
      <c r="AG157" s="360"/>
      <c r="AH157" s="360"/>
      <c r="AI157" s="360"/>
    </row>
    <row r="158" spans="1:35" s="386" customFormat="1" hidden="1" x14ac:dyDescent="0.25">
      <c r="A158" s="409"/>
      <c r="B158" s="406"/>
      <c r="C158" s="406"/>
      <c r="D158" s="406"/>
      <c r="E158" s="407">
        <v>2017</v>
      </c>
      <c r="F158" s="407">
        <v>2018</v>
      </c>
      <c r="G158" s="407">
        <v>2019</v>
      </c>
      <c r="H158" s="407"/>
      <c r="I158" s="407"/>
      <c r="J158" s="407"/>
      <c r="K158" s="407"/>
      <c r="L158" s="407">
        <f>Table147[[#This Row],[Ambitious target 2030]]+Table147[[#This Row],[Ambitious target 2030]]*0.5</f>
        <v>0</v>
      </c>
      <c r="M158" s="407"/>
      <c r="N158" s="407"/>
      <c r="O158" s="407"/>
      <c r="P158" s="407"/>
      <c r="Q158" s="407">
        <f>Table147[[#This Row],[Red target]]-Table147[[#This Row],[Red target]]*0.5</f>
        <v>0</v>
      </c>
      <c r="R158" s="407"/>
      <c r="S158" s="407"/>
      <c r="T158" s="407"/>
      <c r="U158" s="407"/>
      <c r="V158" s="407"/>
      <c r="W158" s="407"/>
      <c r="X158" s="407"/>
      <c r="Y158" s="407"/>
      <c r="Z158" s="407"/>
      <c r="AA158" s="407"/>
      <c r="AB158" s="407"/>
      <c r="AC158" s="413"/>
    </row>
    <row r="159" spans="1:35" x14ac:dyDescent="0.25">
      <c r="A159" s="418" t="s">
        <v>735</v>
      </c>
      <c r="B159" s="437" t="s">
        <v>1080</v>
      </c>
      <c r="C159" s="437" t="s">
        <v>473</v>
      </c>
      <c r="D159" s="436" t="s">
        <v>904</v>
      </c>
      <c r="E159" s="420">
        <f>((490.2)/(4607+3141.9+3718.4+490.2))*100</f>
        <v>4.099519130252979</v>
      </c>
      <c r="F159" s="420">
        <f>(561.3/(4662.1+3309.4+3772.1+561.3))*100</f>
        <v>4.561597412412941</v>
      </c>
      <c r="G159" s="420">
        <f>(28.98/(193.03+141.45+157.86+28.98))*100</f>
        <v>5.5589657024476322</v>
      </c>
      <c r="H159" s="421">
        <v>2017</v>
      </c>
      <c r="I159" s="421">
        <v>4.099519130252979</v>
      </c>
      <c r="J159" s="421">
        <v>2015</v>
      </c>
      <c r="K159" s="411">
        <v>5.5293799999999997</v>
      </c>
      <c r="L159" s="411">
        <v>100</v>
      </c>
      <c r="M159" s="421">
        <v>17</v>
      </c>
      <c r="N159" s="421"/>
      <c r="O159" s="421">
        <f>(M159-K159)*0.5+K159</f>
        <v>11.26469</v>
      </c>
      <c r="P159" s="421"/>
      <c r="Q159" s="421">
        <v>0</v>
      </c>
      <c r="R159" s="421"/>
      <c r="S159" s="421"/>
      <c r="T159" s="421"/>
      <c r="U159" s="421"/>
      <c r="V159" s="421"/>
      <c r="W159" s="421"/>
      <c r="X159" s="421"/>
      <c r="Y159" s="421"/>
      <c r="Z159" s="421">
        <f>K159</f>
        <v>5.5293799999999997</v>
      </c>
      <c r="AA159" s="421" t="s">
        <v>985</v>
      </c>
      <c r="AB159" s="421" t="s">
        <v>1128</v>
      </c>
      <c r="AC159" s="419" t="s">
        <v>688</v>
      </c>
      <c r="AD159" s="377" t="s">
        <v>738</v>
      </c>
      <c r="AE159" s="360" t="s">
        <v>1082</v>
      </c>
      <c r="AF159" s="360"/>
      <c r="AG159" s="360"/>
      <c r="AH159" s="360"/>
      <c r="AI159" s="360"/>
    </row>
    <row r="160" spans="1:35" hidden="1" x14ac:dyDescent="0.25">
      <c r="A160" s="390"/>
      <c r="B160" s="369"/>
      <c r="C160" s="369"/>
      <c r="D160" s="369"/>
      <c r="E160" s="379"/>
      <c r="F160" s="380"/>
      <c r="G160" s="381"/>
      <c r="H160" s="421"/>
      <c r="I160" s="375"/>
      <c r="J160" s="375"/>
      <c r="K160" s="375"/>
      <c r="L160" s="375">
        <f>Table147[[#This Row],[Ambitious target 2030]]+Table147[[#This Row],[Ambitious target 2030]]*0.5</f>
        <v>0</v>
      </c>
      <c r="M160" s="375"/>
      <c r="N160" s="375"/>
      <c r="O160" s="375"/>
      <c r="P160" s="375"/>
      <c r="Q160" s="375">
        <f>Table147[[#This Row],[Red target]]-Table147[[#This Row],[Red target]]*0.5</f>
        <v>0</v>
      </c>
      <c r="R160" s="375"/>
      <c r="S160" s="375"/>
      <c r="T160" s="375"/>
      <c r="U160" s="375"/>
      <c r="V160" s="375"/>
      <c r="W160" s="375"/>
      <c r="X160" s="375"/>
      <c r="Y160" s="375"/>
      <c r="Z160" s="375"/>
      <c r="AA160" s="375"/>
      <c r="AB160" s="375"/>
      <c r="AC160" s="401"/>
      <c r="AD160" s="360"/>
      <c r="AE160" s="360"/>
      <c r="AF160" s="360"/>
      <c r="AG160" s="360"/>
      <c r="AH160" s="360"/>
      <c r="AI160" s="360"/>
    </row>
    <row r="161" spans="1:35" hidden="1" x14ac:dyDescent="0.25">
      <c r="A161" s="390"/>
      <c r="B161" s="369"/>
      <c r="C161" s="369"/>
      <c r="D161" s="369"/>
      <c r="E161" s="379"/>
      <c r="F161" s="380"/>
      <c r="G161" s="381"/>
      <c r="H161" s="421"/>
      <c r="I161" s="375"/>
      <c r="J161" s="375"/>
      <c r="K161" s="375"/>
      <c r="L161" s="375">
        <f>Table147[[#This Row],[Ambitious target 2030]]+Table147[[#This Row],[Ambitious target 2030]]*0.5</f>
        <v>0</v>
      </c>
      <c r="M161" s="375"/>
      <c r="N161" s="375"/>
      <c r="O161" s="375"/>
      <c r="P161" s="375"/>
      <c r="Q161" s="375">
        <f>Table147[[#This Row],[Red target]]-Table147[[#This Row],[Red target]]*0.5</f>
        <v>0</v>
      </c>
      <c r="R161" s="375"/>
      <c r="S161" s="375"/>
      <c r="T161" s="375"/>
      <c r="U161" s="375"/>
      <c r="V161" s="375"/>
      <c r="W161" s="375"/>
      <c r="X161" s="375"/>
      <c r="Y161" s="375"/>
      <c r="Z161" s="375"/>
      <c r="AA161" s="375"/>
      <c r="AB161" s="375"/>
      <c r="AC161" s="396"/>
      <c r="AD161" s="360"/>
      <c r="AE161" s="360"/>
      <c r="AF161" s="360"/>
      <c r="AG161" s="360"/>
      <c r="AH161" s="360"/>
      <c r="AI161" s="360"/>
    </row>
    <row r="162" spans="1:35" hidden="1" x14ac:dyDescent="0.25">
      <c r="A162" s="390"/>
      <c r="B162" s="369"/>
      <c r="C162" s="369"/>
      <c r="D162" s="369"/>
      <c r="E162" s="379"/>
      <c r="F162" s="380"/>
      <c r="G162" s="381"/>
      <c r="H162" s="421"/>
      <c r="I162" s="375"/>
      <c r="J162" s="375"/>
      <c r="K162" s="375"/>
      <c r="L162" s="375">
        <f>Table147[[#This Row],[Ambitious target 2030]]+Table147[[#This Row],[Ambitious target 2030]]*0.5</f>
        <v>0</v>
      </c>
      <c r="M162" s="375"/>
      <c r="N162" s="375"/>
      <c r="O162" s="375"/>
      <c r="P162" s="375"/>
      <c r="Q162" s="375">
        <f>Table147[[#This Row],[Red target]]-Table147[[#This Row],[Red target]]*0.5</f>
        <v>0</v>
      </c>
      <c r="R162" s="375"/>
      <c r="S162" s="375"/>
      <c r="T162" s="375"/>
      <c r="U162" s="375"/>
      <c r="V162" s="375"/>
      <c r="W162" s="375"/>
      <c r="X162" s="375"/>
      <c r="Y162" s="375"/>
      <c r="Z162" s="375"/>
      <c r="AA162" s="375"/>
      <c r="AB162" s="375"/>
      <c r="AC162" s="396"/>
      <c r="AD162" s="360"/>
      <c r="AE162" s="360"/>
      <c r="AF162" s="360"/>
      <c r="AG162" s="360"/>
      <c r="AH162" s="360"/>
      <c r="AI162" s="360"/>
    </row>
    <row r="163" spans="1:35" hidden="1" x14ac:dyDescent="0.25">
      <c r="A163" s="390"/>
      <c r="B163" s="369"/>
      <c r="C163" s="369"/>
      <c r="D163" s="369"/>
      <c r="E163" s="379"/>
      <c r="F163" s="380"/>
      <c r="G163" s="381"/>
      <c r="H163" s="421"/>
      <c r="I163" s="375"/>
      <c r="J163" s="375"/>
      <c r="K163" s="375"/>
      <c r="L163" s="375">
        <f>Table147[[#This Row],[Ambitious target 2030]]+Table147[[#This Row],[Ambitious target 2030]]*0.5</f>
        <v>0</v>
      </c>
      <c r="M163" s="375"/>
      <c r="N163" s="375"/>
      <c r="O163" s="375"/>
      <c r="P163" s="375"/>
      <c r="Q163" s="375">
        <f>Table147[[#This Row],[Red target]]-Table147[[#This Row],[Red target]]*0.5</f>
        <v>0</v>
      </c>
      <c r="R163" s="375"/>
      <c r="S163" s="375"/>
      <c r="T163" s="375"/>
      <c r="U163" s="375"/>
      <c r="V163" s="375"/>
      <c r="W163" s="375"/>
      <c r="X163" s="375"/>
      <c r="Y163" s="375"/>
      <c r="Z163" s="375"/>
      <c r="AA163" s="375"/>
      <c r="AB163" s="375"/>
      <c r="AC163" s="396"/>
      <c r="AD163" s="360"/>
      <c r="AE163" s="360"/>
      <c r="AF163" s="360"/>
      <c r="AG163" s="360"/>
      <c r="AH163" s="360"/>
      <c r="AI163" s="360"/>
    </row>
    <row r="164" spans="1:35" hidden="1" x14ac:dyDescent="0.25">
      <c r="A164" s="390"/>
      <c r="B164" s="369"/>
      <c r="C164" s="369"/>
      <c r="D164" s="369"/>
      <c r="E164" s="379"/>
      <c r="F164" s="380"/>
      <c r="G164" s="381"/>
      <c r="H164" s="421"/>
      <c r="I164" s="375"/>
      <c r="J164" s="375"/>
      <c r="K164" s="375"/>
      <c r="L164" s="375">
        <f>Table147[[#This Row],[Ambitious target 2030]]+Table147[[#This Row],[Ambitious target 2030]]*0.5</f>
        <v>0</v>
      </c>
      <c r="M164" s="375"/>
      <c r="N164" s="375"/>
      <c r="O164" s="375"/>
      <c r="P164" s="375"/>
      <c r="Q164" s="375">
        <f>Table147[[#This Row],[Red target]]-Table147[[#This Row],[Red target]]*0.5</f>
        <v>0</v>
      </c>
      <c r="R164" s="375"/>
      <c r="S164" s="375"/>
      <c r="T164" s="375"/>
      <c r="U164" s="375"/>
      <c r="V164" s="375"/>
      <c r="W164" s="375"/>
      <c r="X164" s="375"/>
      <c r="Y164" s="375"/>
      <c r="Z164" s="375"/>
      <c r="AA164" s="375"/>
      <c r="AB164" s="375"/>
      <c r="AC164" s="396"/>
      <c r="AD164" s="360"/>
      <c r="AE164" s="360"/>
      <c r="AF164" s="360"/>
      <c r="AG164" s="360"/>
      <c r="AH164" s="360"/>
      <c r="AI164" s="360"/>
    </row>
    <row r="165" spans="1:35" hidden="1" x14ac:dyDescent="0.25">
      <c r="A165" s="390"/>
      <c r="B165" s="369"/>
      <c r="C165" s="369"/>
      <c r="D165" s="369"/>
      <c r="E165" s="382"/>
      <c r="F165" s="383"/>
      <c r="G165" s="384"/>
      <c r="H165" s="421"/>
      <c r="I165" s="375"/>
      <c r="J165" s="375"/>
      <c r="K165" s="375"/>
      <c r="L165" s="375">
        <f>Table147[[#This Row],[Ambitious target 2030]]+Table147[[#This Row],[Ambitious target 2030]]*0.5</f>
        <v>0</v>
      </c>
      <c r="M165" s="375"/>
      <c r="N165" s="375"/>
      <c r="O165" s="375"/>
      <c r="P165" s="375"/>
      <c r="Q165" s="375">
        <f>Table147[[#This Row],[Red target]]-Table147[[#This Row],[Red target]]*0.5</f>
        <v>0</v>
      </c>
      <c r="R165" s="375"/>
      <c r="S165" s="375"/>
      <c r="T165" s="375"/>
      <c r="U165" s="375"/>
      <c r="V165" s="375"/>
      <c r="W165" s="375"/>
      <c r="X165" s="375"/>
      <c r="Y165" s="375"/>
      <c r="Z165" s="375"/>
      <c r="AA165" s="375"/>
      <c r="AB165" s="375"/>
      <c r="AC165" s="396"/>
      <c r="AD165" s="360"/>
      <c r="AE165" s="360"/>
      <c r="AF165" s="360"/>
      <c r="AG165" s="360"/>
      <c r="AH165" s="360"/>
      <c r="AI165" s="360"/>
    </row>
    <row r="166" spans="1:35" hidden="1" x14ac:dyDescent="0.25">
      <c r="A166" s="390"/>
      <c r="B166" s="369"/>
      <c r="C166" s="369"/>
      <c r="D166" s="369"/>
      <c r="E166" s="382"/>
      <c r="F166" s="383"/>
      <c r="G166" s="384"/>
      <c r="H166" s="421"/>
      <c r="I166" s="375"/>
      <c r="J166" s="375"/>
      <c r="K166" s="375"/>
      <c r="L166" s="375">
        <f>Table147[[#This Row],[Ambitious target 2030]]+Table147[[#This Row],[Ambitious target 2030]]*0.5</f>
        <v>0</v>
      </c>
      <c r="M166" s="375"/>
      <c r="N166" s="375"/>
      <c r="O166" s="375"/>
      <c r="P166" s="375"/>
      <c r="Q166" s="375">
        <f>Table147[[#This Row],[Red target]]-Table147[[#This Row],[Red target]]*0.5</f>
        <v>0</v>
      </c>
      <c r="R166" s="375"/>
      <c r="S166" s="375"/>
      <c r="T166" s="375"/>
      <c r="U166" s="375"/>
      <c r="V166" s="375"/>
      <c r="W166" s="375"/>
      <c r="X166" s="375"/>
      <c r="Y166" s="375"/>
      <c r="Z166" s="375"/>
      <c r="AA166" s="375"/>
      <c r="AB166" s="375"/>
      <c r="AC166" s="396"/>
      <c r="AD166" s="360"/>
      <c r="AE166" s="360"/>
      <c r="AF166" s="360"/>
      <c r="AG166" s="360"/>
      <c r="AH166" s="360"/>
      <c r="AI166" s="360"/>
    </row>
    <row r="167" spans="1:35" hidden="1" x14ac:dyDescent="0.25">
      <c r="A167" s="390"/>
      <c r="B167" s="369"/>
      <c r="C167" s="369"/>
      <c r="D167" s="369"/>
      <c r="E167" s="382"/>
      <c r="F167" s="383"/>
      <c r="G167" s="384"/>
      <c r="H167" s="421"/>
      <c r="I167" s="375"/>
      <c r="J167" s="375"/>
      <c r="K167" s="375"/>
      <c r="L167" s="375">
        <f>Table147[[#This Row],[Ambitious target 2030]]+Table147[[#This Row],[Ambitious target 2030]]*0.5</f>
        <v>0</v>
      </c>
      <c r="M167" s="375"/>
      <c r="N167" s="375"/>
      <c r="O167" s="375"/>
      <c r="P167" s="375"/>
      <c r="Q167" s="375">
        <f>Table147[[#This Row],[Red target]]-Table147[[#This Row],[Red target]]*0.5</f>
        <v>0</v>
      </c>
      <c r="R167" s="375"/>
      <c r="S167" s="375"/>
      <c r="T167" s="375"/>
      <c r="U167" s="375"/>
      <c r="V167" s="375"/>
      <c r="W167" s="375"/>
      <c r="X167" s="375"/>
      <c r="Y167" s="375"/>
      <c r="Z167" s="375"/>
      <c r="AA167" s="375"/>
      <c r="AB167" s="375"/>
      <c r="AC167" s="396"/>
      <c r="AD167" s="360"/>
      <c r="AE167" s="360"/>
      <c r="AF167" s="360"/>
      <c r="AG167" s="360"/>
      <c r="AH167" s="360"/>
      <c r="AI167" s="360"/>
    </row>
    <row r="168" spans="1:35" hidden="1" x14ac:dyDescent="0.25">
      <c r="A168" s="390"/>
      <c r="B168" s="369"/>
      <c r="C168" s="369"/>
      <c r="D168" s="369"/>
      <c r="E168" s="382"/>
      <c r="F168" s="383"/>
      <c r="G168" s="384"/>
      <c r="H168" s="421"/>
      <c r="I168" s="375"/>
      <c r="J168" s="375"/>
      <c r="K168" s="375"/>
      <c r="L168" s="375">
        <f>Table147[[#This Row],[Ambitious target 2030]]+Table147[[#This Row],[Ambitious target 2030]]*0.5</f>
        <v>0</v>
      </c>
      <c r="M168" s="375"/>
      <c r="N168" s="375"/>
      <c r="O168" s="375"/>
      <c r="P168" s="375"/>
      <c r="Q168" s="375">
        <f>Table147[[#This Row],[Red target]]-Table147[[#This Row],[Red target]]*0.5</f>
        <v>0</v>
      </c>
      <c r="R168" s="375"/>
      <c r="S168" s="375"/>
      <c r="T168" s="375"/>
      <c r="U168" s="375"/>
      <c r="V168" s="375"/>
      <c r="W168" s="375"/>
      <c r="X168" s="375"/>
      <c r="Y168" s="375"/>
      <c r="Z168" s="375"/>
      <c r="AA168" s="375"/>
      <c r="AB168" s="375"/>
      <c r="AC168" s="396"/>
      <c r="AD168" s="360"/>
      <c r="AE168" s="360"/>
      <c r="AF168" s="360"/>
      <c r="AG168" s="360"/>
      <c r="AH168" s="360"/>
      <c r="AI168" s="360"/>
    </row>
    <row r="169" spans="1:35" hidden="1" x14ac:dyDescent="0.25">
      <c r="A169" s="390"/>
      <c r="B169" s="369"/>
      <c r="C169" s="369"/>
      <c r="D169" s="369"/>
      <c r="E169" s="382"/>
      <c r="F169" s="383"/>
      <c r="G169" s="384"/>
      <c r="H169" s="421"/>
      <c r="I169" s="375"/>
      <c r="J169" s="375"/>
      <c r="K169" s="375"/>
      <c r="L169" s="375">
        <f>Table147[[#This Row],[Ambitious target 2030]]+Table147[[#This Row],[Ambitious target 2030]]*0.5</f>
        <v>0</v>
      </c>
      <c r="M169" s="375"/>
      <c r="N169" s="375"/>
      <c r="O169" s="375"/>
      <c r="P169" s="375"/>
      <c r="Q169" s="375">
        <f>Table147[[#This Row],[Red target]]-Table147[[#This Row],[Red target]]*0.5</f>
        <v>0</v>
      </c>
      <c r="R169" s="375"/>
      <c r="S169" s="375"/>
      <c r="T169" s="375"/>
      <c r="U169" s="375"/>
      <c r="V169" s="375"/>
      <c r="W169" s="375"/>
      <c r="X169" s="375"/>
      <c r="Y169" s="375"/>
      <c r="Z169" s="375"/>
      <c r="AA169" s="375"/>
      <c r="AB169" s="375"/>
      <c r="AC169" s="396"/>
      <c r="AD169" s="360"/>
      <c r="AE169" s="360"/>
      <c r="AF169" s="360"/>
      <c r="AG169" s="360"/>
      <c r="AH169" s="360"/>
      <c r="AI169" s="360"/>
    </row>
    <row r="170" spans="1:35" s="386" customFormat="1" hidden="1" x14ac:dyDescent="0.25">
      <c r="A170" s="409"/>
      <c r="B170" s="406"/>
      <c r="C170" s="406"/>
      <c r="D170" s="406"/>
      <c r="E170" s="407">
        <v>2017</v>
      </c>
      <c r="F170" s="407">
        <v>2018</v>
      </c>
      <c r="G170" s="407">
        <v>2019</v>
      </c>
      <c r="H170" s="407"/>
      <c r="I170" s="407"/>
      <c r="J170" s="407"/>
      <c r="K170" s="407"/>
      <c r="L170" s="407">
        <f>Table147[[#This Row],[Ambitious target 2030]]+Table147[[#This Row],[Ambitious target 2030]]*0.5</f>
        <v>0</v>
      </c>
      <c r="M170" s="407"/>
      <c r="N170" s="407"/>
      <c r="O170" s="407"/>
      <c r="P170" s="407"/>
      <c r="Q170" s="407">
        <f>Table147[[#This Row],[Red target]]-Table147[[#This Row],[Red target]]*0.5</f>
        <v>0</v>
      </c>
      <c r="R170" s="407"/>
      <c r="S170" s="407"/>
      <c r="T170" s="407"/>
      <c r="U170" s="407"/>
      <c r="V170" s="407"/>
      <c r="W170" s="407"/>
      <c r="X170" s="407"/>
      <c r="Y170" s="407"/>
      <c r="Z170" s="407"/>
      <c r="AA170" s="407"/>
      <c r="AB170" s="407"/>
      <c r="AC170" s="416"/>
    </row>
    <row r="171" spans="1:35" x14ac:dyDescent="0.25">
      <c r="A171" s="418" t="s">
        <v>736</v>
      </c>
      <c r="B171" s="437" t="s">
        <v>1078</v>
      </c>
      <c r="C171" s="437" t="s">
        <v>473</v>
      </c>
      <c r="D171" s="436" t="s">
        <v>904</v>
      </c>
      <c r="E171" s="420">
        <f>((4607+3141.9+3718.4)/(4607+3141.9+3718.4+490.2))*100</f>
        <v>95.900480869747014</v>
      </c>
      <c r="F171" s="420">
        <f>((4662.1+3309.4+3772.1)/(4662.1+3309.4+3772.1+561.3))*100</f>
        <v>95.438402587587063</v>
      </c>
      <c r="G171" s="420">
        <f>((193.03+141.45+157.86)/(193.03+141.45+157.86+28.98))*100</f>
        <v>94.441034297552363</v>
      </c>
      <c r="H171" s="421">
        <v>2014</v>
      </c>
      <c r="I171" s="421">
        <v>95.900480869747014</v>
      </c>
      <c r="J171" s="421">
        <v>2015</v>
      </c>
      <c r="K171" s="411">
        <v>93.835099999999997</v>
      </c>
      <c r="L171" s="411">
        <v>0</v>
      </c>
      <c r="M171" s="421">
        <v>76</v>
      </c>
      <c r="N171" s="421"/>
      <c r="O171" s="421">
        <f>(M171-K171)*0.5+K171</f>
        <v>84.917550000000006</v>
      </c>
      <c r="P171" s="421"/>
      <c r="Q171" s="421">
        <v>100</v>
      </c>
      <c r="R171" s="421"/>
      <c r="S171" s="421"/>
      <c r="T171" s="421"/>
      <c r="U171" s="421"/>
      <c r="V171" s="421"/>
      <c r="W171" s="421"/>
      <c r="X171" s="421"/>
      <c r="Y171" s="421"/>
      <c r="Z171" s="421">
        <f>K171</f>
        <v>93.835099999999997</v>
      </c>
      <c r="AA171" s="421" t="s">
        <v>985</v>
      </c>
      <c r="AB171" s="421" t="s">
        <v>1129</v>
      </c>
      <c r="AC171" s="360" t="s">
        <v>1082</v>
      </c>
      <c r="AD171" s="426" t="s">
        <v>739</v>
      </c>
      <c r="AE171" s="360"/>
      <c r="AF171" s="360"/>
      <c r="AG171" s="360"/>
      <c r="AH171" s="360"/>
      <c r="AI171" s="360"/>
    </row>
    <row r="172" spans="1:35" hidden="1" x14ac:dyDescent="0.25">
      <c r="A172" s="390"/>
      <c r="B172" s="369"/>
      <c r="C172" s="369"/>
      <c r="D172" s="369"/>
      <c r="E172" s="379"/>
      <c r="F172" s="380"/>
      <c r="G172" s="381"/>
      <c r="H172" s="421"/>
      <c r="I172" s="375"/>
      <c r="J172" s="375"/>
      <c r="K172" s="375"/>
      <c r="L172" s="375">
        <f>Table147[[#This Row],[Ambitious target 2030]]+Table147[[#This Row],[Ambitious target 2030]]*0.5</f>
        <v>0</v>
      </c>
      <c r="M172" s="375"/>
      <c r="N172" s="375"/>
      <c r="O172" s="375"/>
      <c r="P172" s="375"/>
      <c r="Q172" s="375">
        <f>Table147[[#This Row],[Red target]]-Table147[[#This Row],[Red target]]*0.5</f>
        <v>0</v>
      </c>
      <c r="R172" s="375"/>
      <c r="S172" s="375"/>
      <c r="T172" s="375"/>
      <c r="U172" s="375"/>
      <c r="V172" s="375"/>
      <c r="W172" s="375"/>
      <c r="X172" s="375"/>
      <c r="Y172" s="375"/>
      <c r="Z172" s="375"/>
      <c r="AA172" s="375"/>
      <c r="AB172" s="375"/>
      <c r="AC172" s="396"/>
      <c r="AD172" s="360"/>
      <c r="AE172" s="360"/>
      <c r="AF172" s="360"/>
      <c r="AG172" s="360"/>
      <c r="AH172" s="360"/>
      <c r="AI172" s="360"/>
    </row>
    <row r="173" spans="1:35" hidden="1" x14ac:dyDescent="0.25">
      <c r="A173" s="390"/>
      <c r="B173" s="369"/>
      <c r="C173" s="369"/>
      <c r="D173" s="369"/>
      <c r="E173" s="379"/>
      <c r="F173" s="380"/>
      <c r="G173" s="381"/>
      <c r="H173" s="421"/>
      <c r="I173" s="375"/>
      <c r="J173" s="375"/>
      <c r="K173" s="375"/>
      <c r="L173" s="375">
        <f>Table147[[#This Row],[Ambitious target 2030]]+Table147[[#This Row],[Ambitious target 2030]]*0.5</f>
        <v>0</v>
      </c>
      <c r="M173" s="375"/>
      <c r="N173" s="375"/>
      <c r="O173" s="375"/>
      <c r="P173" s="375"/>
      <c r="Q173" s="375">
        <f>Table147[[#This Row],[Red target]]-Table147[[#This Row],[Red target]]*0.5</f>
        <v>0</v>
      </c>
      <c r="R173" s="375"/>
      <c r="S173" s="375"/>
      <c r="T173" s="375"/>
      <c r="U173" s="375"/>
      <c r="V173" s="375"/>
      <c r="W173" s="375"/>
      <c r="X173" s="375"/>
      <c r="Y173" s="375"/>
      <c r="Z173" s="375"/>
      <c r="AA173" s="375"/>
      <c r="AB173" s="375"/>
      <c r="AC173" s="396"/>
      <c r="AD173" s="360"/>
      <c r="AE173" s="360"/>
      <c r="AF173" s="360"/>
      <c r="AG173" s="360"/>
      <c r="AH173" s="360"/>
      <c r="AI173" s="360"/>
    </row>
    <row r="174" spans="1:35" hidden="1" x14ac:dyDescent="0.25">
      <c r="A174" s="390"/>
      <c r="B174" s="369"/>
      <c r="C174" s="369"/>
      <c r="D174" s="369"/>
      <c r="E174" s="379"/>
      <c r="F174" s="380"/>
      <c r="G174" s="381"/>
      <c r="H174" s="421"/>
      <c r="I174" s="375"/>
      <c r="J174" s="375"/>
      <c r="K174" s="375"/>
      <c r="L174" s="375">
        <f>Table147[[#This Row],[Ambitious target 2030]]+Table147[[#This Row],[Ambitious target 2030]]*0.5</f>
        <v>0</v>
      </c>
      <c r="M174" s="375"/>
      <c r="N174" s="375"/>
      <c r="O174" s="375"/>
      <c r="P174" s="375"/>
      <c r="Q174" s="375">
        <f>Table147[[#This Row],[Red target]]-Table147[[#This Row],[Red target]]*0.5</f>
        <v>0</v>
      </c>
      <c r="R174" s="375"/>
      <c r="S174" s="375"/>
      <c r="T174" s="375"/>
      <c r="U174" s="375"/>
      <c r="V174" s="375"/>
      <c r="W174" s="375"/>
      <c r="X174" s="375"/>
      <c r="Y174" s="375"/>
      <c r="Z174" s="375"/>
      <c r="AA174" s="375"/>
      <c r="AB174" s="375"/>
      <c r="AC174" s="396"/>
      <c r="AD174" s="360"/>
      <c r="AE174" s="360"/>
      <c r="AF174" s="360"/>
      <c r="AG174" s="360"/>
      <c r="AH174" s="360"/>
      <c r="AI174" s="360"/>
    </row>
    <row r="175" spans="1:35" hidden="1" x14ac:dyDescent="0.25">
      <c r="A175" s="390"/>
      <c r="B175" s="369"/>
      <c r="C175" s="369"/>
      <c r="D175" s="369"/>
      <c r="E175" s="379"/>
      <c r="F175" s="380"/>
      <c r="G175" s="381"/>
      <c r="H175" s="421"/>
      <c r="I175" s="375"/>
      <c r="J175" s="375"/>
      <c r="K175" s="375"/>
      <c r="L175" s="375">
        <f>Table147[[#This Row],[Ambitious target 2030]]+Table147[[#This Row],[Ambitious target 2030]]*0.5</f>
        <v>0</v>
      </c>
      <c r="M175" s="375"/>
      <c r="N175" s="375"/>
      <c r="O175" s="375"/>
      <c r="P175" s="375"/>
      <c r="Q175" s="375">
        <f>Table147[[#This Row],[Red target]]-Table147[[#This Row],[Red target]]*0.5</f>
        <v>0</v>
      </c>
      <c r="R175" s="375"/>
      <c r="S175" s="375"/>
      <c r="T175" s="375"/>
      <c r="U175" s="375"/>
      <c r="V175" s="375"/>
      <c r="W175" s="375"/>
      <c r="X175" s="375"/>
      <c r="Y175" s="375"/>
      <c r="Z175" s="375"/>
      <c r="AA175" s="375"/>
      <c r="AB175" s="375"/>
      <c r="AC175" s="396"/>
      <c r="AD175" s="360"/>
      <c r="AE175" s="360"/>
      <c r="AF175" s="360"/>
      <c r="AG175" s="360"/>
      <c r="AH175" s="360"/>
      <c r="AI175" s="360"/>
    </row>
    <row r="176" spans="1:35" hidden="1" x14ac:dyDescent="0.25">
      <c r="A176" s="390"/>
      <c r="B176" s="369"/>
      <c r="C176" s="369"/>
      <c r="D176" s="369"/>
      <c r="E176" s="379"/>
      <c r="F176" s="380"/>
      <c r="G176" s="381"/>
      <c r="H176" s="421"/>
      <c r="I176" s="375"/>
      <c r="J176" s="375"/>
      <c r="K176" s="375"/>
      <c r="L176" s="375">
        <f>Table147[[#This Row],[Ambitious target 2030]]+Table147[[#This Row],[Ambitious target 2030]]*0.5</f>
        <v>0</v>
      </c>
      <c r="M176" s="375"/>
      <c r="N176" s="375"/>
      <c r="O176" s="375"/>
      <c r="P176" s="375"/>
      <c r="Q176" s="375">
        <f>Table147[[#This Row],[Red target]]-Table147[[#This Row],[Red target]]*0.5</f>
        <v>0</v>
      </c>
      <c r="R176" s="375"/>
      <c r="S176" s="375"/>
      <c r="T176" s="375"/>
      <c r="U176" s="375"/>
      <c r="V176" s="375"/>
      <c r="W176" s="375"/>
      <c r="X176" s="375"/>
      <c r="Y176" s="375"/>
      <c r="Z176" s="375"/>
      <c r="AA176" s="375"/>
      <c r="AB176" s="375"/>
      <c r="AC176" s="396"/>
      <c r="AD176" s="360"/>
      <c r="AE176" s="360"/>
      <c r="AF176" s="360"/>
      <c r="AG176" s="360"/>
      <c r="AH176" s="360"/>
      <c r="AI176" s="360"/>
    </row>
    <row r="177" spans="1:35" hidden="1" x14ac:dyDescent="0.25">
      <c r="A177" s="390"/>
      <c r="B177" s="369"/>
      <c r="C177" s="369"/>
      <c r="D177" s="369"/>
      <c r="E177" s="382"/>
      <c r="F177" s="383"/>
      <c r="G177" s="384"/>
      <c r="H177" s="421"/>
      <c r="I177" s="375"/>
      <c r="J177" s="375"/>
      <c r="K177" s="375"/>
      <c r="L177" s="375">
        <f>Table147[[#This Row],[Ambitious target 2030]]+Table147[[#This Row],[Ambitious target 2030]]*0.5</f>
        <v>0</v>
      </c>
      <c r="M177" s="375"/>
      <c r="N177" s="375"/>
      <c r="O177" s="375"/>
      <c r="P177" s="375"/>
      <c r="Q177" s="375">
        <f>Table147[[#This Row],[Red target]]-Table147[[#This Row],[Red target]]*0.5</f>
        <v>0</v>
      </c>
      <c r="R177" s="375"/>
      <c r="S177" s="375"/>
      <c r="T177" s="375"/>
      <c r="U177" s="375"/>
      <c r="V177" s="375"/>
      <c r="W177" s="375"/>
      <c r="X177" s="375"/>
      <c r="Y177" s="375"/>
      <c r="Z177" s="375"/>
      <c r="AA177" s="375"/>
      <c r="AB177" s="375"/>
      <c r="AC177" s="396"/>
      <c r="AD177" s="360"/>
      <c r="AE177" s="360"/>
      <c r="AF177" s="360"/>
      <c r="AG177" s="360"/>
      <c r="AH177" s="360"/>
      <c r="AI177" s="360"/>
    </row>
    <row r="178" spans="1:35" hidden="1" x14ac:dyDescent="0.25">
      <c r="A178" s="390"/>
      <c r="B178" s="369"/>
      <c r="C178" s="369"/>
      <c r="D178" s="369"/>
      <c r="E178" s="382"/>
      <c r="F178" s="383"/>
      <c r="G178" s="384"/>
      <c r="H178" s="421"/>
      <c r="I178" s="375"/>
      <c r="J178" s="375"/>
      <c r="K178" s="375"/>
      <c r="L178" s="375">
        <f>Table147[[#This Row],[Ambitious target 2030]]+Table147[[#This Row],[Ambitious target 2030]]*0.5</f>
        <v>0</v>
      </c>
      <c r="M178" s="375"/>
      <c r="N178" s="375"/>
      <c r="O178" s="375"/>
      <c r="P178" s="375"/>
      <c r="Q178" s="375">
        <f>Table147[[#This Row],[Red target]]-Table147[[#This Row],[Red target]]*0.5</f>
        <v>0</v>
      </c>
      <c r="R178" s="375"/>
      <c r="S178" s="375"/>
      <c r="T178" s="375"/>
      <c r="U178" s="375"/>
      <c r="V178" s="375"/>
      <c r="W178" s="375"/>
      <c r="X178" s="375"/>
      <c r="Y178" s="375"/>
      <c r="Z178" s="375"/>
      <c r="AA178" s="375"/>
      <c r="AB178" s="375"/>
      <c r="AC178" s="396"/>
      <c r="AD178" s="360"/>
      <c r="AE178" s="360"/>
      <c r="AF178" s="360"/>
      <c r="AG178" s="360"/>
      <c r="AH178" s="360"/>
      <c r="AI178" s="360"/>
    </row>
    <row r="179" spans="1:35" hidden="1" x14ac:dyDescent="0.25">
      <c r="A179" s="390"/>
      <c r="B179" s="369"/>
      <c r="C179" s="369"/>
      <c r="D179" s="369"/>
      <c r="E179" s="382"/>
      <c r="F179" s="383"/>
      <c r="G179" s="384"/>
      <c r="H179" s="421"/>
      <c r="I179" s="375"/>
      <c r="J179" s="375"/>
      <c r="K179" s="375"/>
      <c r="L179" s="375">
        <f>Table147[[#This Row],[Ambitious target 2030]]+Table147[[#This Row],[Ambitious target 2030]]*0.5</f>
        <v>0</v>
      </c>
      <c r="M179" s="375"/>
      <c r="N179" s="375"/>
      <c r="O179" s="375"/>
      <c r="P179" s="375"/>
      <c r="Q179" s="375">
        <f>Table147[[#This Row],[Red target]]-Table147[[#This Row],[Red target]]*0.5</f>
        <v>0</v>
      </c>
      <c r="R179" s="375"/>
      <c r="S179" s="375"/>
      <c r="T179" s="375"/>
      <c r="U179" s="375"/>
      <c r="V179" s="375"/>
      <c r="W179" s="375"/>
      <c r="X179" s="375"/>
      <c r="Y179" s="375"/>
      <c r="Z179" s="375"/>
      <c r="AA179" s="375"/>
      <c r="AB179" s="375"/>
      <c r="AC179" s="396"/>
      <c r="AD179" s="360"/>
      <c r="AE179" s="360"/>
      <c r="AF179" s="360"/>
      <c r="AG179" s="360"/>
      <c r="AH179" s="360"/>
      <c r="AI179" s="360"/>
    </row>
    <row r="180" spans="1:35" hidden="1" x14ac:dyDescent="0.25">
      <c r="A180" s="390"/>
      <c r="B180" s="369"/>
      <c r="C180" s="369"/>
      <c r="D180" s="369"/>
      <c r="E180" s="382"/>
      <c r="F180" s="383"/>
      <c r="G180" s="384"/>
      <c r="H180" s="421"/>
      <c r="I180" s="375"/>
      <c r="J180" s="375"/>
      <c r="K180" s="375"/>
      <c r="L180" s="375">
        <f>Table147[[#This Row],[Ambitious target 2030]]+Table147[[#This Row],[Ambitious target 2030]]*0.5</f>
        <v>0</v>
      </c>
      <c r="M180" s="375"/>
      <c r="N180" s="375"/>
      <c r="O180" s="375"/>
      <c r="P180" s="375"/>
      <c r="Q180" s="375">
        <f>Table147[[#This Row],[Red target]]-Table147[[#This Row],[Red target]]*0.5</f>
        <v>0</v>
      </c>
      <c r="R180" s="375"/>
      <c r="S180" s="375"/>
      <c r="T180" s="375"/>
      <c r="U180" s="375"/>
      <c r="V180" s="375"/>
      <c r="W180" s="375"/>
      <c r="X180" s="375"/>
      <c r="Y180" s="375"/>
      <c r="Z180" s="375"/>
      <c r="AA180" s="375"/>
      <c r="AB180" s="375"/>
      <c r="AC180" s="396"/>
      <c r="AD180" s="360"/>
      <c r="AE180" s="360"/>
      <c r="AF180" s="360"/>
      <c r="AG180" s="360"/>
      <c r="AH180" s="360"/>
      <c r="AI180" s="360"/>
    </row>
    <row r="181" spans="1:35" hidden="1" x14ac:dyDescent="0.25">
      <c r="A181" s="390"/>
      <c r="B181" s="369"/>
      <c r="C181" s="369"/>
      <c r="D181" s="369"/>
      <c r="E181" s="382"/>
      <c r="F181" s="383"/>
      <c r="G181" s="384"/>
      <c r="H181" s="421"/>
      <c r="I181" s="375"/>
      <c r="J181" s="375"/>
      <c r="K181" s="375"/>
      <c r="L181" s="375">
        <f>Table147[[#This Row],[Ambitious target 2030]]+Table147[[#This Row],[Ambitious target 2030]]*0.5</f>
        <v>0</v>
      </c>
      <c r="M181" s="375"/>
      <c r="N181" s="375"/>
      <c r="O181" s="375"/>
      <c r="P181" s="375"/>
      <c r="Q181" s="375">
        <f>Table147[[#This Row],[Red target]]-Table147[[#This Row],[Red target]]*0.5</f>
        <v>0</v>
      </c>
      <c r="R181" s="375"/>
      <c r="S181" s="375"/>
      <c r="T181" s="375"/>
      <c r="U181" s="375"/>
      <c r="V181" s="375"/>
      <c r="W181" s="375"/>
      <c r="X181" s="375"/>
      <c r="Y181" s="375"/>
      <c r="Z181" s="375"/>
      <c r="AA181" s="375"/>
      <c r="AB181" s="375"/>
      <c r="AC181" s="396"/>
      <c r="AD181" s="360"/>
      <c r="AE181" s="360"/>
      <c r="AF181" s="360"/>
      <c r="AG181" s="360"/>
      <c r="AH181" s="360"/>
      <c r="AI181" s="360"/>
    </row>
    <row r="182" spans="1:35" s="387" customFormat="1" hidden="1" x14ac:dyDescent="0.25">
      <c r="A182" s="410"/>
      <c r="B182" s="415"/>
      <c r="C182" s="415"/>
      <c r="D182" s="415"/>
      <c r="E182" s="417">
        <v>2005</v>
      </c>
      <c r="F182" s="417">
        <v>2010</v>
      </c>
      <c r="G182" s="417">
        <v>2020</v>
      </c>
      <c r="H182" s="417"/>
      <c r="I182" s="417"/>
      <c r="J182" s="417"/>
      <c r="K182" s="417"/>
      <c r="L182" s="417">
        <f>Table147[[#This Row],[Ambitious target 2030]]+Table147[[#This Row],[Ambitious target 2030]]*0.5</f>
        <v>0</v>
      </c>
      <c r="M182" s="417"/>
      <c r="N182" s="417"/>
      <c r="O182" s="417"/>
      <c r="P182" s="417"/>
      <c r="Q182" s="417">
        <f>Table147[[#This Row],[Red target]]-Table147[[#This Row],[Red target]]*0.5</f>
        <v>0</v>
      </c>
      <c r="R182" s="417"/>
      <c r="S182" s="417"/>
      <c r="T182" s="417"/>
      <c r="U182" s="417"/>
      <c r="V182" s="417"/>
      <c r="W182" s="417"/>
      <c r="X182" s="417"/>
      <c r="Y182" s="417"/>
      <c r="Z182" s="417"/>
      <c r="AA182" s="417"/>
      <c r="AB182" s="417"/>
      <c r="AC182" s="412"/>
    </row>
    <row r="183" spans="1:35" s="362" customFormat="1" x14ac:dyDescent="0.25">
      <c r="A183" s="418" t="s">
        <v>953</v>
      </c>
      <c r="B183" s="436" t="s">
        <v>21</v>
      </c>
      <c r="C183" s="437" t="s">
        <v>959</v>
      </c>
      <c r="D183" s="436" t="s">
        <v>1084</v>
      </c>
      <c r="E183" s="420">
        <v>1.0200000000000001E-2</v>
      </c>
      <c r="F183" s="420">
        <v>0.11550000000000001</v>
      </c>
      <c r="G183" s="420">
        <v>0.29909999999999998</v>
      </c>
      <c r="H183" s="421">
        <v>2020</v>
      </c>
      <c r="I183" s="421">
        <v>0.29909999999999998</v>
      </c>
      <c r="J183" s="421">
        <v>2015</v>
      </c>
      <c r="K183" s="411">
        <v>0.180646</v>
      </c>
      <c r="L183" s="411">
        <f>Table147[[#This Row],[Ambitious target 2030]]+Table147[[#This Row],[Ambitious target 2030]]*0.5</f>
        <v>3.5999999999999996</v>
      </c>
      <c r="M183" s="421">
        <v>2.4</v>
      </c>
      <c r="N183" s="421"/>
      <c r="O183" s="421">
        <f>(M183-K183)*0.5+K183</f>
        <v>1.2903230000000001</v>
      </c>
      <c r="P183" s="421"/>
      <c r="Q183" s="421">
        <f>Table147[[#This Row],[Red target]]-Table147[[#This Row],[Red target]]*0.5</f>
        <v>9.0323000000000001E-2</v>
      </c>
      <c r="R183" s="421"/>
      <c r="S183" s="421"/>
      <c r="T183" s="421"/>
      <c r="U183" s="421"/>
      <c r="V183" s="421"/>
      <c r="W183" s="421"/>
      <c r="X183" s="421"/>
      <c r="Y183" s="421"/>
      <c r="Z183" s="421">
        <f>K183</f>
        <v>0.180646</v>
      </c>
      <c r="AA183" s="421" t="s">
        <v>985</v>
      </c>
      <c r="AB183" s="421" t="s">
        <v>1126</v>
      </c>
      <c r="AC183" s="419" t="s">
        <v>979</v>
      </c>
      <c r="AD183" s="371" t="s">
        <v>1134</v>
      </c>
    </row>
    <row r="184" spans="1:35" s="362" customFormat="1" hidden="1" x14ac:dyDescent="0.25">
      <c r="A184" s="389"/>
      <c r="B184" s="372"/>
      <c r="C184" s="372"/>
      <c r="D184" s="372"/>
      <c r="E184" s="379"/>
      <c r="F184" s="380"/>
      <c r="G184" s="381"/>
      <c r="H184" s="421"/>
      <c r="I184" s="375"/>
      <c r="J184" s="375"/>
      <c r="K184" s="375"/>
      <c r="L184" s="375">
        <f>Table147[[#This Row],[Ambitious target 2030]]+Table147[[#This Row],[Ambitious target 2030]]*0.5</f>
        <v>0</v>
      </c>
      <c r="M184" s="375"/>
      <c r="N184" s="375"/>
      <c r="O184" s="375"/>
      <c r="P184" s="375"/>
      <c r="Q184" s="375">
        <f>Table147[[#This Row],[Red target]]-Table147[[#This Row],[Red target]]*0.5</f>
        <v>0</v>
      </c>
      <c r="R184" s="375"/>
      <c r="S184" s="375"/>
      <c r="T184" s="375"/>
      <c r="U184" s="375"/>
      <c r="V184" s="375"/>
      <c r="W184" s="375"/>
      <c r="X184" s="375"/>
      <c r="Y184" s="375"/>
      <c r="Z184" s="375"/>
      <c r="AA184" s="375"/>
      <c r="AB184" s="375"/>
      <c r="AC184" s="399"/>
    </row>
    <row r="185" spans="1:35" s="362" customFormat="1" hidden="1" x14ac:dyDescent="0.25">
      <c r="A185" s="389"/>
      <c r="B185" s="372"/>
      <c r="C185" s="372"/>
      <c r="D185" s="372"/>
      <c r="E185" s="379"/>
      <c r="F185" s="380"/>
      <c r="G185" s="381"/>
      <c r="H185" s="421"/>
      <c r="I185" s="375"/>
      <c r="J185" s="375"/>
      <c r="K185" s="375"/>
      <c r="L185" s="375">
        <f>Table147[[#This Row],[Ambitious target 2030]]+Table147[[#This Row],[Ambitious target 2030]]*0.5</f>
        <v>0</v>
      </c>
      <c r="M185" s="375"/>
      <c r="N185" s="375"/>
      <c r="O185" s="375"/>
      <c r="P185" s="375"/>
      <c r="Q185" s="375">
        <f>Table147[[#This Row],[Red target]]-Table147[[#This Row],[Red target]]*0.5</f>
        <v>0</v>
      </c>
      <c r="R185" s="375"/>
      <c r="S185" s="375"/>
      <c r="T185" s="375"/>
      <c r="U185" s="375"/>
      <c r="V185" s="375"/>
      <c r="W185" s="375"/>
      <c r="X185" s="375"/>
      <c r="Y185" s="375"/>
      <c r="Z185" s="375"/>
      <c r="AA185" s="375"/>
      <c r="AB185" s="375"/>
      <c r="AC185" s="399"/>
    </row>
    <row r="186" spans="1:35" s="362" customFormat="1" hidden="1" x14ac:dyDescent="0.25">
      <c r="A186" s="389"/>
      <c r="B186" s="372"/>
      <c r="C186" s="372"/>
      <c r="D186" s="372"/>
      <c r="E186" s="379"/>
      <c r="F186" s="380"/>
      <c r="G186" s="381"/>
      <c r="H186" s="421"/>
      <c r="I186" s="375"/>
      <c r="J186" s="375"/>
      <c r="K186" s="375"/>
      <c r="L186" s="375">
        <f>Table147[[#This Row],[Ambitious target 2030]]+Table147[[#This Row],[Ambitious target 2030]]*0.5</f>
        <v>0</v>
      </c>
      <c r="M186" s="375"/>
      <c r="N186" s="375"/>
      <c r="O186" s="375"/>
      <c r="P186" s="375"/>
      <c r="Q186" s="375">
        <f>Table147[[#This Row],[Red target]]-Table147[[#This Row],[Red target]]*0.5</f>
        <v>0</v>
      </c>
      <c r="R186" s="375"/>
      <c r="S186" s="375"/>
      <c r="T186" s="375"/>
      <c r="U186" s="375"/>
      <c r="V186" s="375"/>
      <c r="W186" s="375"/>
      <c r="X186" s="375"/>
      <c r="Y186" s="375"/>
      <c r="Z186" s="375"/>
      <c r="AA186" s="375"/>
      <c r="AB186" s="375"/>
      <c r="AC186" s="399"/>
    </row>
    <row r="187" spans="1:35" s="362" customFormat="1" hidden="1" x14ac:dyDescent="0.25">
      <c r="A187" s="389"/>
      <c r="B187" s="372"/>
      <c r="C187" s="372"/>
      <c r="D187" s="372"/>
      <c r="E187" s="379"/>
      <c r="F187" s="380"/>
      <c r="G187" s="381"/>
      <c r="H187" s="421"/>
      <c r="I187" s="375"/>
      <c r="J187" s="375"/>
      <c r="K187" s="375"/>
      <c r="L187" s="431">
        <f>Table147[[#This Row],[Ambitious target 2030]]+Table147[[#This Row],[Ambitious target 2030]]*0.5</f>
        <v>0</v>
      </c>
      <c r="M187" s="375"/>
      <c r="N187" s="375"/>
      <c r="O187" s="431"/>
      <c r="P187" s="431"/>
      <c r="Q187" s="431">
        <f>Table147[[#This Row],[Red target]]-Table147[[#This Row],[Red target]]*0.5</f>
        <v>0</v>
      </c>
      <c r="R187" s="431"/>
      <c r="S187" s="431"/>
      <c r="T187" s="431"/>
      <c r="U187" s="431"/>
      <c r="V187" s="431"/>
      <c r="W187" s="431"/>
      <c r="X187" s="431"/>
      <c r="Y187" s="431"/>
      <c r="Z187" s="431"/>
      <c r="AA187" s="375"/>
      <c r="AB187" s="375"/>
      <c r="AC187" s="399"/>
    </row>
    <row r="188" spans="1:35" s="362" customFormat="1" hidden="1" x14ac:dyDescent="0.25">
      <c r="A188" s="389"/>
      <c r="B188" s="372"/>
      <c r="C188" s="372"/>
      <c r="D188" s="372"/>
      <c r="E188" s="379"/>
      <c r="F188" s="380"/>
      <c r="G188" s="381"/>
      <c r="H188" s="421"/>
      <c r="I188" s="375"/>
      <c r="J188" s="375"/>
      <c r="K188" s="375"/>
      <c r="L188" s="431">
        <f>Table147[[#This Row],[Ambitious target 2030]]+Table147[[#This Row],[Ambitious target 2030]]*0.5</f>
        <v>0</v>
      </c>
      <c r="M188" s="375"/>
      <c r="N188" s="375"/>
      <c r="O188" s="431"/>
      <c r="P188" s="431"/>
      <c r="Q188" s="431">
        <f>Table147[[#This Row],[Red target]]-Table147[[#This Row],[Red target]]*0.5</f>
        <v>0</v>
      </c>
      <c r="R188" s="431"/>
      <c r="S188" s="431"/>
      <c r="T188" s="431"/>
      <c r="U188" s="431"/>
      <c r="V188" s="431"/>
      <c r="W188" s="431"/>
      <c r="X188" s="431"/>
      <c r="Y188" s="431"/>
      <c r="Z188" s="431"/>
      <c r="AA188" s="375"/>
      <c r="AB188" s="375"/>
      <c r="AC188" s="399"/>
    </row>
    <row r="189" spans="1:35" s="362" customFormat="1" hidden="1" x14ac:dyDescent="0.25">
      <c r="A189" s="389"/>
      <c r="B189" s="372"/>
      <c r="C189" s="372"/>
      <c r="D189" s="372"/>
      <c r="E189" s="382"/>
      <c r="F189" s="383"/>
      <c r="G189" s="384"/>
      <c r="H189" s="421"/>
      <c r="I189" s="375"/>
      <c r="J189" s="375"/>
      <c r="K189" s="375"/>
      <c r="L189" s="375">
        <f>Table147[[#This Row],[Ambitious target 2030]]+Table147[[#This Row],[Ambitious target 2030]]*0.5</f>
        <v>0</v>
      </c>
      <c r="M189" s="375"/>
      <c r="N189" s="375"/>
      <c r="O189" s="375"/>
      <c r="P189" s="375"/>
      <c r="Q189" s="375">
        <f>Table147[[#This Row],[Red target]]-Table147[[#This Row],[Red target]]*0.5</f>
        <v>0</v>
      </c>
      <c r="R189" s="375"/>
      <c r="S189" s="375"/>
      <c r="T189" s="375"/>
      <c r="U189" s="375"/>
      <c r="V189" s="375"/>
      <c r="W189" s="375"/>
      <c r="X189" s="375"/>
      <c r="Y189" s="375"/>
      <c r="Z189" s="375"/>
      <c r="AA189" s="375"/>
      <c r="AB189" s="375"/>
      <c r="AC189" s="399"/>
    </row>
    <row r="190" spans="1:35" s="362" customFormat="1" hidden="1" x14ac:dyDescent="0.25">
      <c r="A190" s="389"/>
      <c r="B190" s="372"/>
      <c r="C190" s="372"/>
      <c r="D190" s="372"/>
      <c r="E190" s="382"/>
      <c r="F190" s="383"/>
      <c r="G190" s="384"/>
      <c r="H190" s="421"/>
      <c r="I190" s="375"/>
      <c r="J190" s="375"/>
      <c r="K190" s="375"/>
      <c r="L190" s="375">
        <f>Table147[[#This Row],[Ambitious target 2030]]+Table147[[#This Row],[Ambitious target 2030]]*0.5</f>
        <v>0</v>
      </c>
      <c r="M190" s="375"/>
      <c r="N190" s="375"/>
      <c r="O190" s="375"/>
      <c r="P190" s="375"/>
      <c r="Q190" s="375">
        <f>Table147[[#This Row],[Red target]]-Table147[[#This Row],[Red target]]*0.5</f>
        <v>0</v>
      </c>
      <c r="R190" s="375"/>
      <c r="S190" s="375"/>
      <c r="T190" s="375"/>
      <c r="U190" s="375"/>
      <c r="V190" s="375"/>
      <c r="W190" s="375"/>
      <c r="X190" s="375"/>
      <c r="Y190" s="375"/>
      <c r="Z190" s="375"/>
      <c r="AA190" s="375"/>
      <c r="AB190" s="375"/>
      <c r="AC190" s="399"/>
    </row>
    <row r="191" spans="1:35" s="362" customFormat="1" hidden="1" x14ac:dyDescent="0.25">
      <c r="A191" s="389"/>
      <c r="B191" s="372"/>
      <c r="C191" s="372"/>
      <c r="D191" s="372"/>
      <c r="E191" s="382"/>
      <c r="F191" s="383"/>
      <c r="G191" s="384"/>
      <c r="H191" s="421"/>
      <c r="I191" s="375"/>
      <c r="J191" s="375"/>
      <c r="K191" s="375"/>
      <c r="L191" s="431">
        <f>Table147[[#This Row],[Ambitious target 2030]]+Table147[[#This Row],[Ambitious target 2030]]*0.5</f>
        <v>0</v>
      </c>
      <c r="M191" s="375"/>
      <c r="N191" s="375"/>
      <c r="O191" s="431"/>
      <c r="P191" s="431"/>
      <c r="Q191" s="431">
        <f>Table147[[#This Row],[Red target]]-Table147[[#This Row],[Red target]]*0.5</f>
        <v>0</v>
      </c>
      <c r="R191" s="431"/>
      <c r="S191" s="431"/>
      <c r="T191" s="431"/>
      <c r="U191" s="431"/>
      <c r="V191" s="431"/>
      <c r="W191" s="431"/>
      <c r="X191" s="431"/>
      <c r="Y191" s="431"/>
      <c r="Z191" s="431"/>
      <c r="AA191" s="375"/>
      <c r="AB191" s="375"/>
      <c r="AC191" s="399"/>
    </row>
    <row r="192" spans="1:35" s="362" customFormat="1" hidden="1" x14ac:dyDescent="0.25">
      <c r="A192" s="389"/>
      <c r="B192" s="372"/>
      <c r="C192" s="372"/>
      <c r="D192" s="372"/>
      <c r="E192" s="382"/>
      <c r="F192" s="383"/>
      <c r="G192" s="384"/>
      <c r="H192" s="421"/>
      <c r="I192" s="375"/>
      <c r="J192" s="375"/>
      <c r="K192" s="375"/>
      <c r="L192" s="431">
        <f>Table147[[#This Row],[Ambitious target 2030]]+Table147[[#This Row],[Ambitious target 2030]]*0.5</f>
        <v>0</v>
      </c>
      <c r="M192" s="375"/>
      <c r="N192" s="375"/>
      <c r="O192" s="431"/>
      <c r="P192" s="431"/>
      <c r="Q192" s="431">
        <f>Table147[[#This Row],[Red target]]-Table147[[#This Row],[Red target]]*0.5</f>
        <v>0</v>
      </c>
      <c r="R192" s="431"/>
      <c r="S192" s="431"/>
      <c r="T192" s="431"/>
      <c r="U192" s="431"/>
      <c r="V192" s="431"/>
      <c r="W192" s="431"/>
      <c r="X192" s="431"/>
      <c r="Y192" s="431"/>
      <c r="Z192" s="431"/>
      <c r="AA192" s="375"/>
      <c r="AB192" s="375"/>
      <c r="AC192" s="399"/>
    </row>
    <row r="193" spans="1:30" s="362" customFormat="1" hidden="1" x14ac:dyDescent="0.25">
      <c r="A193" s="389"/>
      <c r="B193" s="372"/>
      <c r="C193" s="372"/>
      <c r="D193" s="372"/>
      <c r="E193" s="382"/>
      <c r="F193" s="383"/>
      <c r="G193" s="384"/>
      <c r="H193" s="421"/>
      <c r="I193" s="375"/>
      <c r="J193" s="375"/>
      <c r="K193" s="375"/>
      <c r="L193" s="431">
        <f>Table147[[#This Row],[Ambitious target 2030]]+Table147[[#This Row],[Ambitious target 2030]]*0.5</f>
        <v>0</v>
      </c>
      <c r="M193" s="375"/>
      <c r="N193" s="375"/>
      <c r="O193" s="431"/>
      <c r="P193" s="431"/>
      <c r="Q193" s="431">
        <f>Table147[[#This Row],[Red target]]-Table147[[#This Row],[Red target]]*0.5</f>
        <v>0</v>
      </c>
      <c r="R193" s="431"/>
      <c r="S193" s="431"/>
      <c r="T193" s="431"/>
      <c r="U193" s="431"/>
      <c r="V193" s="431"/>
      <c r="W193" s="431"/>
      <c r="X193" s="431"/>
      <c r="Y193" s="431"/>
      <c r="Z193" s="431"/>
      <c r="AA193" s="375"/>
      <c r="AB193" s="375"/>
      <c r="AC193" s="399"/>
    </row>
    <row r="194" spans="1:30" s="387" customFormat="1" hidden="1" x14ac:dyDescent="0.25">
      <c r="A194" s="410"/>
      <c r="B194" s="415"/>
      <c r="C194" s="415"/>
      <c r="D194" s="434"/>
      <c r="E194" s="417">
        <v>2005</v>
      </c>
      <c r="F194" s="417">
        <v>2010</v>
      </c>
      <c r="G194" s="417">
        <v>2020</v>
      </c>
      <c r="H194" s="417"/>
      <c r="I194" s="417"/>
      <c r="J194" s="417"/>
      <c r="K194" s="417"/>
      <c r="L194" s="417">
        <f>Table147[[#This Row],[Ambitious target 2030]]+Table147[[#This Row],[Ambitious target 2030]]*0.5</f>
        <v>0</v>
      </c>
      <c r="M194" s="417"/>
      <c r="N194" s="417"/>
      <c r="O194" s="417"/>
      <c r="P194" s="417"/>
      <c r="Q194" s="417">
        <f>Table147[[#This Row],[Red target]]-Table147[[#This Row],[Red target]]*0.5</f>
        <v>0</v>
      </c>
      <c r="R194" s="417"/>
      <c r="S194" s="417"/>
      <c r="T194" s="417"/>
      <c r="U194" s="417"/>
      <c r="V194" s="417"/>
      <c r="W194" s="417"/>
      <c r="X194" s="417"/>
      <c r="Y194" s="417"/>
      <c r="Z194" s="417"/>
      <c r="AA194" s="417"/>
      <c r="AB194" s="417"/>
      <c r="AC194" s="412"/>
    </row>
    <row r="195" spans="1:30" s="362" customFormat="1" x14ac:dyDescent="0.25">
      <c r="A195" s="418" t="s">
        <v>954</v>
      </c>
      <c r="B195" s="436" t="s">
        <v>22</v>
      </c>
      <c r="C195" s="437" t="s">
        <v>959</v>
      </c>
      <c r="D195" s="436" t="s">
        <v>1084</v>
      </c>
      <c r="E195" s="420">
        <v>0.36770000000000003</v>
      </c>
      <c r="F195" s="420">
        <v>0.57010000000000005</v>
      </c>
      <c r="G195" s="420">
        <v>1.1954</v>
      </c>
      <c r="H195" s="421">
        <v>2020</v>
      </c>
      <c r="I195" s="421">
        <v>1.1954</v>
      </c>
      <c r="J195" s="421">
        <v>2015</v>
      </c>
      <c r="K195" s="411">
        <v>0.14058100000000001</v>
      </c>
      <c r="L195" s="411">
        <f>Table147[[#This Row],[Ambitious target 2030]]+Table147[[#This Row],[Ambitious target 2030]]*0.5</f>
        <v>11.850000000000001</v>
      </c>
      <c r="M195" s="421">
        <v>7.9</v>
      </c>
      <c r="N195" s="421"/>
      <c r="O195" s="421">
        <f>(M195-K195)*0.5+K195</f>
        <v>4.0202904999999998</v>
      </c>
      <c r="P195" s="421"/>
      <c r="Q195" s="421">
        <f>Table147[[#This Row],[Red target]]-Table147[[#This Row],[Red target]]*0.5</f>
        <v>7.0290500000000006E-2</v>
      </c>
      <c r="R195" s="421"/>
      <c r="S195" s="421"/>
      <c r="T195" s="421"/>
      <c r="U195" s="421"/>
      <c r="V195" s="421"/>
      <c r="W195" s="421"/>
      <c r="X195" s="421"/>
      <c r="Y195" s="421"/>
      <c r="Z195" s="421">
        <f>K195</f>
        <v>0.14058100000000001</v>
      </c>
      <c r="AA195" s="421" t="s">
        <v>985</v>
      </c>
      <c r="AB195" s="421" t="s">
        <v>1127</v>
      </c>
      <c r="AC195" s="419" t="s">
        <v>979</v>
      </c>
      <c r="AD195" s="371" t="s">
        <v>1133</v>
      </c>
    </row>
    <row r="196" spans="1:30" s="362" customFormat="1" hidden="1" x14ac:dyDescent="0.25">
      <c r="A196" s="389"/>
      <c r="B196" s="372"/>
      <c r="C196" s="372"/>
      <c r="D196" s="372"/>
      <c r="E196" s="379"/>
      <c r="F196" s="380"/>
      <c r="G196" s="381"/>
      <c r="H196" s="421"/>
      <c r="I196" s="375"/>
      <c r="J196" s="375"/>
      <c r="K196" s="375"/>
      <c r="L196" s="375">
        <f>Table147[[#This Row],[Ambitious target 2030]]+Table147[[#This Row],[Ambitious target 2030]]*0.5</f>
        <v>0</v>
      </c>
      <c r="M196" s="375"/>
      <c r="N196" s="375"/>
      <c r="O196" s="375"/>
      <c r="P196" s="375"/>
      <c r="Q196" s="375">
        <f>Table147[[#This Row],[Red target]]-Table147[[#This Row],[Red target]]*0.5</f>
        <v>0</v>
      </c>
      <c r="R196" s="375"/>
      <c r="S196" s="375"/>
      <c r="T196" s="375"/>
      <c r="U196" s="375"/>
      <c r="V196" s="375"/>
      <c r="W196" s="375"/>
      <c r="X196" s="375"/>
      <c r="Y196" s="375"/>
      <c r="Z196" s="375"/>
      <c r="AA196" s="375"/>
      <c r="AB196" s="375"/>
      <c r="AC196" s="399"/>
    </row>
    <row r="197" spans="1:30" s="362" customFormat="1" hidden="1" x14ac:dyDescent="0.25">
      <c r="A197" s="389"/>
      <c r="B197" s="372"/>
      <c r="C197" s="372"/>
      <c r="D197" s="372"/>
      <c r="E197" s="379"/>
      <c r="F197" s="380"/>
      <c r="G197" s="381"/>
      <c r="H197" s="421"/>
      <c r="I197" s="375"/>
      <c r="J197" s="375"/>
      <c r="K197" s="375"/>
      <c r="L197" s="375">
        <f>Table147[[#This Row],[Ambitious target 2030]]+Table147[[#This Row],[Ambitious target 2030]]*0.5</f>
        <v>0</v>
      </c>
      <c r="M197" s="375"/>
      <c r="N197" s="375"/>
      <c r="O197" s="375"/>
      <c r="P197" s="375"/>
      <c r="Q197" s="375">
        <f>Table147[[#This Row],[Red target]]-Table147[[#This Row],[Red target]]*0.5</f>
        <v>0</v>
      </c>
      <c r="R197" s="375"/>
      <c r="S197" s="375"/>
      <c r="T197" s="375"/>
      <c r="U197" s="375"/>
      <c r="V197" s="375"/>
      <c r="W197" s="375"/>
      <c r="X197" s="375"/>
      <c r="Y197" s="375"/>
      <c r="Z197" s="375"/>
      <c r="AA197" s="375"/>
      <c r="AB197" s="375"/>
      <c r="AC197" s="399"/>
    </row>
    <row r="198" spans="1:30" s="362" customFormat="1" hidden="1" x14ac:dyDescent="0.25">
      <c r="A198" s="389"/>
      <c r="B198" s="372"/>
      <c r="C198" s="372"/>
      <c r="D198" s="372"/>
      <c r="E198" s="379"/>
      <c r="F198" s="380"/>
      <c r="G198" s="381"/>
      <c r="H198" s="421"/>
      <c r="I198" s="375"/>
      <c r="J198" s="375"/>
      <c r="K198" s="375"/>
      <c r="L198" s="375">
        <f>Table147[[#This Row],[Ambitious target 2030]]+Table147[[#This Row],[Ambitious target 2030]]*0.5</f>
        <v>0</v>
      </c>
      <c r="M198" s="375"/>
      <c r="N198" s="375"/>
      <c r="O198" s="375"/>
      <c r="P198" s="375"/>
      <c r="Q198" s="375">
        <f>Table147[[#This Row],[Red target]]-Table147[[#This Row],[Red target]]*0.5</f>
        <v>0</v>
      </c>
      <c r="R198" s="375"/>
      <c r="S198" s="375"/>
      <c r="T198" s="375"/>
      <c r="U198" s="375"/>
      <c r="V198" s="375"/>
      <c r="W198" s="375"/>
      <c r="X198" s="375"/>
      <c r="Y198" s="375"/>
      <c r="Z198" s="375"/>
      <c r="AA198" s="375"/>
      <c r="AB198" s="375"/>
      <c r="AC198" s="399"/>
    </row>
    <row r="199" spans="1:30" s="362" customFormat="1" hidden="1" x14ac:dyDescent="0.25">
      <c r="A199" s="389"/>
      <c r="B199" s="372"/>
      <c r="C199" s="372"/>
      <c r="D199" s="372"/>
      <c r="E199" s="379"/>
      <c r="F199" s="380"/>
      <c r="G199" s="381"/>
      <c r="H199" s="421"/>
      <c r="I199" s="375"/>
      <c r="J199" s="375"/>
      <c r="K199" s="375"/>
      <c r="L199" s="431">
        <f>Table147[[#This Row],[Ambitious target 2030]]+Table147[[#This Row],[Ambitious target 2030]]*0.5</f>
        <v>0</v>
      </c>
      <c r="M199" s="375"/>
      <c r="N199" s="375"/>
      <c r="O199" s="431"/>
      <c r="P199" s="431"/>
      <c r="Q199" s="431">
        <f>Table147[[#This Row],[Red target]]-Table147[[#This Row],[Red target]]*0.5</f>
        <v>0</v>
      </c>
      <c r="R199" s="431"/>
      <c r="S199" s="431"/>
      <c r="T199" s="431"/>
      <c r="U199" s="431"/>
      <c r="V199" s="431"/>
      <c r="W199" s="431"/>
      <c r="X199" s="431"/>
      <c r="Y199" s="431"/>
      <c r="Z199" s="431"/>
      <c r="AA199" s="375"/>
      <c r="AB199" s="375"/>
      <c r="AC199" s="399"/>
    </row>
    <row r="200" spans="1:30" s="362" customFormat="1" hidden="1" x14ac:dyDescent="0.25">
      <c r="A200" s="389"/>
      <c r="B200" s="372"/>
      <c r="C200" s="372"/>
      <c r="D200" s="372"/>
      <c r="E200" s="379"/>
      <c r="F200" s="380"/>
      <c r="G200" s="381"/>
      <c r="H200" s="421"/>
      <c r="I200" s="375"/>
      <c r="J200" s="375"/>
      <c r="K200" s="375"/>
      <c r="L200" s="431">
        <f>Table147[[#This Row],[Ambitious target 2030]]+Table147[[#This Row],[Ambitious target 2030]]*0.5</f>
        <v>0</v>
      </c>
      <c r="M200" s="375"/>
      <c r="N200" s="375"/>
      <c r="O200" s="431"/>
      <c r="P200" s="431"/>
      <c r="Q200" s="431">
        <f>Table147[[#This Row],[Red target]]-Table147[[#This Row],[Red target]]*0.5</f>
        <v>0</v>
      </c>
      <c r="R200" s="431"/>
      <c r="S200" s="431"/>
      <c r="T200" s="431"/>
      <c r="U200" s="431"/>
      <c r="V200" s="431"/>
      <c r="W200" s="431"/>
      <c r="X200" s="431"/>
      <c r="Y200" s="431"/>
      <c r="Z200" s="431"/>
      <c r="AA200" s="375"/>
      <c r="AB200" s="375"/>
      <c r="AC200" s="399"/>
    </row>
    <row r="201" spans="1:30" s="362" customFormat="1" hidden="1" x14ac:dyDescent="0.25">
      <c r="A201" s="389"/>
      <c r="B201" s="372"/>
      <c r="C201" s="372"/>
      <c r="D201" s="372"/>
      <c r="E201" s="382"/>
      <c r="F201" s="383"/>
      <c r="G201" s="384"/>
      <c r="H201" s="421"/>
      <c r="I201" s="375"/>
      <c r="J201" s="375"/>
      <c r="K201" s="375"/>
      <c r="L201" s="375">
        <f>Table147[[#This Row],[Ambitious target 2030]]+Table147[[#This Row],[Ambitious target 2030]]*0.5</f>
        <v>0</v>
      </c>
      <c r="M201" s="375"/>
      <c r="N201" s="375"/>
      <c r="O201" s="375"/>
      <c r="P201" s="375"/>
      <c r="Q201" s="375">
        <f>Table147[[#This Row],[Red target]]-Table147[[#This Row],[Red target]]*0.5</f>
        <v>0</v>
      </c>
      <c r="R201" s="375"/>
      <c r="S201" s="375"/>
      <c r="T201" s="375"/>
      <c r="U201" s="375"/>
      <c r="V201" s="375"/>
      <c r="W201" s="375"/>
      <c r="X201" s="375"/>
      <c r="Y201" s="375"/>
      <c r="Z201" s="375"/>
      <c r="AA201" s="375"/>
      <c r="AB201" s="375"/>
      <c r="AC201" s="399"/>
    </row>
    <row r="202" spans="1:30" s="362" customFormat="1" hidden="1" x14ac:dyDescent="0.25">
      <c r="A202" s="389"/>
      <c r="B202" s="372"/>
      <c r="C202" s="372"/>
      <c r="D202" s="372"/>
      <c r="E202" s="382"/>
      <c r="F202" s="383"/>
      <c r="G202" s="384"/>
      <c r="H202" s="421"/>
      <c r="I202" s="375"/>
      <c r="J202" s="375"/>
      <c r="K202" s="375"/>
      <c r="L202" s="375">
        <f>Table147[[#This Row],[Ambitious target 2030]]+Table147[[#This Row],[Ambitious target 2030]]*0.5</f>
        <v>0</v>
      </c>
      <c r="M202" s="375"/>
      <c r="N202" s="375"/>
      <c r="O202" s="375"/>
      <c r="P202" s="375"/>
      <c r="Q202" s="375">
        <f>Table147[[#This Row],[Red target]]-Table147[[#This Row],[Red target]]*0.5</f>
        <v>0</v>
      </c>
      <c r="R202" s="375"/>
      <c r="S202" s="375"/>
      <c r="T202" s="375"/>
      <c r="U202" s="375"/>
      <c r="V202" s="375"/>
      <c r="W202" s="375"/>
      <c r="X202" s="375"/>
      <c r="Y202" s="375"/>
      <c r="Z202" s="375"/>
      <c r="AA202" s="375"/>
      <c r="AB202" s="375"/>
      <c r="AC202" s="399"/>
    </row>
    <row r="203" spans="1:30" s="362" customFormat="1" hidden="1" x14ac:dyDescent="0.25">
      <c r="A203" s="389"/>
      <c r="B203" s="372"/>
      <c r="C203" s="372"/>
      <c r="D203" s="372"/>
      <c r="E203" s="382"/>
      <c r="F203" s="383"/>
      <c r="G203" s="384"/>
      <c r="H203" s="421"/>
      <c r="I203" s="375"/>
      <c r="J203" s="375"/>
      <c r="K203" s="375"/>
      <c r="L203" s="431">
        <f>Table147[[#This Row],[Ambitious target 2030]]+Table147[[#This Row],[Ambitious target 2030]]*0.5</f>
        <v>0</v>
      </c>
      <c r="M203" s="375"/>
      <c r="N203" s="375"/>
      <c r="O203" s="431"/>
      <c r="P203" s="431"/>
      <c r="Q203" s="431">
        <f>Table147[[#This Row],[Red target]]-Table147[[#This Row],[Red target]]*0.5</f>
        <v>0</v>
      </c>
      <c r="R203" s="431"/>
      <c r="S203" s="431"/>
      <c r="T203" s="431"/>
      <c r="U203" s="431"/>
      <c r="V203" s="431"/>
      <c r="W203" s="431"/>
      <c r="X203" s="431"/>
      <c r="Y203" s="431"/>
      <c r="Z203" s="431"/>
      <c r="AA203" s="375"/>
      <c r="AB203" s="375"/>
      <c r="AC203" s="399"/>
    </row>
    <row r="204" spans="1:30" s="362" customFormat="1" hidden="1" x14ac:dyDescent="0.25">
      <c r="A204" s="389"/>
      <c r="B204" s="372"/>
      <c r="C204" s="372"/>
      <c r="D204" s="372"/>
      <c r="E204" s="382"/>
      <c r="F204" s="383"/>
      <c r="G204" s="384"/>
      <c r="H204" s="421"/>
      <c r="I204" s="375"/>
      <c r="J204" s="375"/>
      <c r="K204" s="375"/>
      <c r="L204" s="431">
        <f>Table147[[#This Row],[Ambitious target 2030]]+Table147[[#This Row],[Ambitious target 2030]]*0.5</f>
        <v>0</v>
      </c>
      <c r="M204" s="375"/>
      <c r="N204" s="375"/>
      <c r="O204" s="431"/>
      <c r="P204" s="431"/>
      <c r="Q204" s="431">
        <f>Table147[[#This Row],[Red target]]-Table147[[#This Row],[Red target]]*0.5</f>
        <v>0</v>
      </c>
      <c r="R204" s="431"/>
      <c r="S204" s="431"/>
      <c r="T204" s="431"/>
      <c r="U204" s="431"/>
      <c r="V204" s="431"/>
      <c r="W204" s="431"/>
      <c r="X204" s="431"/>
      <c r="Y204" s="431"/>
      <c r="Z204" s="431"/>
      <c r="AA204" s="375"/>
      <c r="AB204" s="375"/>
      <c r="AC204" s="399"/>
    </row>
    <row r="205" spans="1:30" s="362" customFormat="1" hidden="1" x14ac:dyDescent="0.25">
      <c r="A205" s="389"/>
      <c r="B205" s="372"/>
      <c r="C205" s="372"/>
      <c r="D205" s="372"/>
      <c r="E205" s="382"/>
      <c r="F205" s="383"/>
      <c r="G205" s="384"/>
      <c r="H205" s="421"/>
      <c r="I205" s="375"/>
      <c r="J205" s="375"/>
      <c r="K205" s="375"/>
      <c r="L205" s="431">
        <f>Table147[[#This Row],[Ambitious target 2030]]+Table147[[#This Row],[Ambitious target 2030]]*0.5</f>
        <v>0</v>
      </c>
      <c r="M205" s="375"/>
      <c r="N205" s="375"/>
      <c r="O205" s="431"/>
      <c r="P205" s="431"/>
      <c r="Q205" s="431">
        <f>Table147[[#This Row],[Red target]]-Table147[[#This Row],[Red target]]*0.5</f>
        <v>0</v>
      </c>
      <c r="R205" s="431"/>
      <c r="S205" s="431"/>
      <c r="T205" s="431"/>
      <c r="U205" s="431"/>
      <c r="V205" s="431"/>
      <c r="W205" s="431"/>
      <c r="X205" s="431"/>
      <c r="Y205" s="431"/>
      <c r="Z205" s="431"/>
      <c r="AA205" s="375"/>
      <c r="AB205" s="375"/>
      <c r="AC205" s="399"/>
    </row>
    <row r="206" spans="1:30" s="387" customFormat="1" hidden="1" x14ac:dyDescent="0.25">
      <c r="A206" s="410"/>
      <c r="B206" s="415"/>
      <c r="C206" s="415"/>
      <c r="D206" s="415"/>
      <c r="E206" s="417">
        <v>2005</v>
      </c>
      <c r="F206" s="417">
        <v>2010</v>
      </c>
      <c r="G206" s="417">
        <v>2020</v>
      </c>
      <c r="H206" s="417"/>
      <c r="I206" s="417"/>
      <c r="J206" s="417"/>
      <c r="K206" s="417"/>
      <c r="L206" s="417">
        <f>Table147[[#This Row],[Ambitious target 2030]]+Table147[[#This Row],[Ambitious target 2030]]*0.5</f>
        <v>0</v>
      </c>
      <c r="M206" s="417"/>
      <c r="N206" s="417"/>
      <c r="O206" s="417"/>
      <c r="P206" s="417"/>
      <c r="Q206" s="417">
        <f>Table147[[#This Row],[Red target]]-Table147[[#This Row],[Red target]]*0.5</f>
        <v>0</v>
      </c>
      <c r="R206" s="417"/>
      <c r="S206" s="417"/>
      <c r="T206" s="417"/>
      <c r="U206" s="417"/>
      <c r="V206" s="417"/>
      <c r="W206" s="417"/>
      <c r="X206" s="417"/>
      <c r="Y206" s="417"/>
      <c r="Z206" s="417"/>
      <c r="AA206" s="417"/>
      <c r="AB206" s="417"/>
      <c r="AC206" s="412"/>
    </row>
    <row r="207" spans="1:30" s="362" customFormat="1" hidden="1" x14ac:dyDescent="0.25">
      <c r="A207" s="418" t="s">
        <v>955</v>
      </c>
      <c r="B207" s="436" t="s">
        <v>23</v>
      </c>
      <c r="C207" s="437" t="s">
        <v>959</v>
      </c>
      <c r="D207" s="436" t="s">
        <v>1083</v>
      </c>
      <c r="E207" s="420">
        <v>39.684927036923398</v>
      </c>
      <c r="F207" s="420">
        <v>37.299186992214103</v>
      </c>
      <c r="G207" s="420">
        <v>42.6177957241024</v>
      </c>
      <c r="H207" s="421">
        <v>2020</v>
      </c>
      <c r="I207" s="421">
        <v>42.6177957241024</v>
      </c>
      <c r="J207" s="421">
        <v>2015</v>
      </c>
      <c r="K207" s="411">
        <v>19.264299999999999</v>
      </c>
      <c r="L207" s="411">
        <f>Table147[[#This Row],[Ambitious target 2030]]+Table147[[#This Row],[Ambitious target 2030]]*0.5</f>
        <v>95.890040379230413</v>
      </c>
      <c r="M207" s="421">
        <f>Table147[[#This Row],[Data reference value]]+Table147[[#This Row],[Data reference value]]*Table147[[#This Row],[Ambitious target improvement rate 2030]]</f>
        <v>63.926693586153604</v>
      </c>
      <c r="N207" s="421">
        <v>0.5</v>
      </c>
      <c r="O207" s="421">
        <f>(Table147[[#This Row],[Ambitious target 2030]]-Table147[[#This Row],[Model reference value]])*0.5+Table147[[#This Row],[Model reference value]]</f>
        <v>41.595496793076805</v>
      </c>
      <c r="P207" s="421"/>
      <c r="Q207" s="421">
        <f>Table147[[#This Row],[Red target]]-Table147[[#This Row],[Red target]]*0.5</f>
        <v>9.6321499999999993</v>
      </c>
      <c r="R207" s="421"/>
      <c r="S207" s="421"/>
      <c r="T207" s="421"/>
      <c r="U207" s="421"/>
      <c r="V207" s="421"/>
      <c r="W207" s="421"/>
      <c r="X207" s="421"/>
      <c r="Y207" s="421"/>
      <c r="Z207" s="421">
        <f>Table147[[#This Row],[Model reference value]]</f>
        <v>19.264299999999999</v>
      </c>
      <c r="AA207" s="421" t="s">
        <v>1140</v>
      </c>
      <c r="AB207" s="421" t="s">
        <v>1087</v>
      </c>
      <c r="AC207" s="419" t="s">
        <v>979</v>
      </c>
    </row>
    <row r="208" spans="1:30" s="362" customFormat="1" hidden="1" x14ac:dyDescent="0.25">
      <c r="A208" s="389"/>
      <c r="B208" s="372"/>
      <c r="C208" s="372"/>
      <c r="D208" s="372"/>
      <c r="E208" s="379"/>
      <c r="F208" s="380"/>
      <c r="G208" s="381"/>
      <c r="H208" s="421"/>
      <c r="I208" s="375"/>
      <c r="J208" s="375"/>
      <c r="K208" s="375"/>
      <c r="L208" s="375">
        <f>Table147[[#This Row],[Ambitious target 2030]]+Table147[[#This Row],[Ambitious target 2030]]*0.5</f>
        <v>0</v>
      </c>
      <c r="M208" s="375"/>
      <c r="N208" s="375"/>
      <c r="O208" s="375"/>
      <c r="P208" s="375"/>
      <c r="Q208" s="375">
        <f>Table147[[#This Row],[Red target]]-Table147[[#This Row],[Red target]]*0.5</f>
        <v>0</v>
      </c>
      <c r="R208" s="375"/>
      <c r="S208" s="375"/>
      <c r="T208" s="375"/>
      <c r="U208" s="375"/>
      <c r="V208" s="375"/>
      <c r="W208" s="375"/>
      <c r="X208" s="375"/>
      <c r="Y208" s="375"/>
      <c r="Z208" s="375"/>
      <c r="AA208" s="375"/>
      <c r="AB208" s="375"/>
      <c r="AC208" s="399"/>
    </row>
    <row r="209" spans="1:29" s="362" customFormat="1" hidden="1" x14ac:dyDescent="0.25">
      <c r="A209" s="389"/>
      <c r="B209" s="372"/>
      <c r="C209" s="372"/>
      <c r="D209" s="372"/>
      <c r="E209" s="379"/>
      <c r="F209" s="380"/>
      <c r="G209" s="381"/>
      <c r="H209" s="421"/>
      <c r="I209" s="375"/>
      <c r="J209" s="375"/>
      <c r="K209" s="375"/>
      <c r="L209" s="375">
        <f>Table147[[#This Row],[Ambitious target 2030]]+Table147[[#This Row],[Ambitious target 2030]]*0.5</f>
        <v>0</v>
      </c>
      <c r="M209" s="375"/>
      <c r="N209" s="375"/>
      <c r="O209" s="375"/>
      <c r="P209" s="375"/>
      <c r="Q209" s="375">
        <f>Table147[[#This Row],[Red target]]-Table147[[#This Row],[Red target]]*0.5</f>
        <v>0</v>
      </c>
      <c r="R209" s="375"/>
      <c r="S209" s="375"/>
      <c r="T209" s="375"/>
      <c r="U209" s="375"/>
      <c r="V209" s="375"/>
      <c r="W209" s="375"/>
      <c r="X209" s="375"/>
      <c r="Y209" s="375"/>
      <c r="Z209" s="375"/>
      <c r="AA209" s="375"/>
      <c r="AB209" s="375"/>
      <c r="AC209" s="399"/>
    </row>
    <row r="210" spans="1:29" s="362" customFormat="1" hidden="1" x14ac:dyDescent="0.25">
      <c r="A210" s="389"/>
      <c r="B210" s="372"/>
      <c r="C210" s="372"/>
      <c r="D210" s="372"/>
      <c r="E210" s="379"/>
      <c r="F210" s="380"/>
      <c r="G210" s="381"/>
      <c r="H210" s="421"/>
      <c r="I210" s="375"/>
      <c r="J210" s="375"/>
      <c r="K210" s="375"/>
      <c r="L210" s="375">
        <f>Table147[[#This Row],[Ambitious target 2030]]+Table147[[#This Row],[Ambitious target 2030]]*0.5</f>
        <v>0</v>
      </c>
      <c r="M210" s="375"/>
      <c r="N210" s="375"/>
      <c r="O210" s="375"/>
      <c r="P210" s="375"/>
      <c r="Q210" s="375">
        <f>Table147[[#This Row],[Red target]]-Table147[[#This Row],[Red target]]*0.5</f>
        <v>0</v>
      </c>
      <c r="R210" s="375"/>
      <c r="S210" s="375"/>
      <c r="T210" s="375"/>
      <c r="U210" s="375"/>
      <c r="V210" s="375"/>
      <c r="W210" s="375"/>
      <c r="X210" s="375"/>
      <c r="Y210" s="375"/>
      <c r="Z210" s="375"/>
      <c r="AA210" s="375"/>
      <c r="AB210" s="375"/>
      <c r="AC210" s="399"/>
    </row>
    <row r="211" spans="1:29" s="362" customFormat="1" hidden="1" x14ac:dyDescent="0.25">
      <c r="A211" s="389"/>
      <c r="B211" s="372"/>
      <c r="C211" s="372"/>
      <c r="D211" s="372"/>
      <c r="E211" s="379"/>
      <c r="F211" s="380"/>
      <c r="G211" s="381"/>
      <c r="H211" s="421"/>
      <c r="I211" s="375"/>
      <c r="J211" s="375"/>
      <c r="K211" s="375"/>
      <c r="L211" s="431">
        <f>Table147[[#This Row],[Ambitious target 2030]]+Table147[[#This Row],[Ambitious target 2030]]*0.5</f>
        <v>0</v>
      </c>
      <c r="M211" s="375"/>
      <c r="N211" s="375"/>
      <c r="O211" s="431"/>
      <c r="P211" s="431"/>
      <c r="Q211" s="431">
        <f>Table147[[#This Row],[Red target]]-Table147[[#This Row],[Red target]]*0.5</f>
        <v>0</v>
      </c>
      <c r="R211" s="431"/>
      <c r="S211" s="431"/>
      <c r="T211" s="431"/>
      <c r="U211" s="431"/>
      <c r="V211" s="431"/>
      <c r="W211" s="431"/>
      <c r="X211" s="431"/>
      <c r="Y211" s="431"/>
      <c r="Z211" s="431"/>
      <c r="AA211" s="375"/>
      <c r="AB211" s="375"/>
      <c r="AC211" s="399"/>
    </row>
    <row r="212" spans="1:29" s="362" customFormat="1" hidden="1" x14ac:dyDescent="0.25">
      <c r="A212" s="389"/>
      <c r="B212" s="372"/>
      <c r="C212" s="372"/>
      <c r="D212" s="372"/>
      <c r="E212" s="379"/>
      <c r="F212" s="380"/>
      <c r="G212" s="381"/>
      <c r="H212" s="421"/>
      <c r="I212" s="375"/>
      <c r="J212" s="375"/>
      <c r="K212" s="375"/>
      <c r="L212" s="431">
        <f>Table147[[#This Row],[Ambitious target 2030]]+Table147[[#This Row],[Ambitious target 2030]]*0.5</f>
        <v>0</v>
      </c>
      <c r="M212" s="375"/>
      <c r="N212" s="375"/>
      <c r="O212" s="431"/>
      <c r="P212" s="431"/>
      <c r="Q212" s="431">
        <f>Table147[[#This Row],[Red target]]-Table147[[#This Row],[Red target]]*0.5</f>
        <v>0</v>
      </c>
      <c r="R212" s="431"/>
      <c r="S212" s="431"/>
      <c r="T212" s="431"/>
      <c r="U212" s="431"/>
      <c r="V212" s="431"/>
      <c r="W212" s="431"/>
      <c r="X212" s="431"/>
      <c r="Y212" s="431"/>
      <c r="Z212" s="431"/>
      <c r="AA212" s="375"/>
      <c r="AB212" s="375"/>
      <c r="AC212" s="399"/>
    </row>
    <row r="213" spans="1:29" s="362" customFormat="1" hidden="1" x14ac:dyDescent="0.25">
      <c r="A213" s="389"/>
      <c r="B213" s="372"/>
      <c r="C213" s="372"/>
      <c r="D213" s="372"/>
      <c r="E213" s="382"/>
      <c r="F213" s="383"/>
      <c r="G213" s="384"/>
      <c r="H213" s="421"/>
      <c r="I213" s="375"/>
      <c r="J213" s="375"/>
      <c r="K213" s="375"/>
      <c r="L213" s="375">
        <f>Table147[[#This Row],[Ambitious target 2030]]+Table147[[#This Row],[Ambitious target 2030]]*0.5</f>
        <v>0</v>
      </c>
      <c r="M213" s="375"/>
      <c r="N213" s="375"/>
      <c r="O213" s="375"/>
      <c r="P213" s="375"/>
      <c r="Q213" s="375">
        <f>Table147[[#This Row],[Red target]]-Table147[[#This Row],[Red target]]*0.5</f>
        <v>0</v>
      </c>
      <c r="R213" s="375"/>
      <c r="S213" s="375"/>
      <c r="T213" s="375"/>
      <c r="U213" s="375"/>
      <c r="V213" s="375"/>
      <c r="W213" s="375"/>
      <c r="X213" s="375"/>
      <c r="Y213" s="375"/>
      <c r="Z213" s="375"/>
      <c r="AA213" s="375"/>
      <c r="AB213" s="375"/>
      <c r="AC213" s="399"/>
    </row>
    <row r="214" spans="1:29" s="362" customFormat="1" hidden="1" x14ac:dyDescent="0.25">
      <c r="A214" s="389"/>
      <c r="B214" s="372"/>
      <c r="C214" s="372"/>
      <c r="D214" s="372"/>
      <c r="E214" s="382"/>
      <c r="F214" s="383"/>
      <c r="G214" s="384"/>
      <c r="H214" s="421"/>
      <c r="I214" s="375"/>
      <c r="J214" s="375"/>
      <c r="K214" s="375"/>
      <c r="L214" s="375">
        <f>Table147[[#This Row],[Ambitious target 2030]]+Table147[[#This Row],[Ambitious target 2030]]*0.5</f>
        <v>0</v>
      </c>
      <c r="M214" s="375"/>
      <c r="N214" s="375"/>
      <c r="O214" s="375"/>
      <c r="P214" s="375"/>
      <c r="Q214" s="375">
        <f>Table147[[#This Row],[Red target]]-Table147[[#This Row],[Red target]]*0.5</f>
        <v>0</v>
      </c>
      <c r="R214" s="375"/>
      <c r="S214" s="375"/>
      <c r="T214" s="375"/>
      <c r="U214" s="375"/>
      <c r="V214" s="375"/>
      <c r="W214" s="375"/>
      <c r="X214" s="375"/>
      <c r="Y214" s="375"/>
      <c r="Z214" s="375"/>
      <c r="AA214" s="375"/>
      <c r="AB214" s="375"/>
      <c r="AC214" s="399"/>
    </row>
    <row r="215" spans="1:29" s="362" customFormat="1" hidden="1" x14ac:dyDescent="0.25">
      <c r="A215" s="389"/>
      <c r="B215" s="372"/>
      <c r="C215" s="372"/>
      <c r="D215" s="372"/>
      <c r="E215" s="382"/>
      <c r="F215" s="383"/>
      <c r="G215" s="384"/>
      <c r="H215" s="421"/>
      <c r="I215" s="375"/>
      <c r="J215" s="375"/>
      <c r="K215" s="375"/>
      <c r="L215" s="431">
        <f>Table147[[#This Row],[Ambitious target 2030]]+Table147[[#This Row],[Ambitious target 2030]]*0.5</f>
        <v>0</v>
      </c>
      <c r="M215" s="375"/>
      <c r="N215" s="375"/>
      <c r="O215" s="431"/>
      <c r="P215" s="431"/>
      <c r="Q215" s="431">
        <f>Table147[[#This Row],[Red target]]-Table147[[#This Row],[Red target]]*0.5</f>
        <v>0</v>
      </c>
      <c r="R215" s="431"/>
      <c r="S215" s="431"/>
      <c r="T215" s="431"/>
      <c r="U215" s="431"/>
      <c r="V215" s="431"/>
      <c r="W215" s="431"/>
      <c r="X215" s="431"/>
      <c r="Y215" s="431"/>
      <c r="Z215" s="431"/>
      <c r="AA215" s="375"/>
      <c r="AB215" s="375"/>
      <c r="AC215" s="399"/>
    </row>
    <row r="216" spans="1:29" s="362" customFormat="1" hidden="1" x14ac:dyDescent="0.25">
      <c r="A216" s="389"/>
      <c r="B216" s="372"/>
      <c r="C216" s="372"/>
      <c r="D216" s="372"/>
      <c r="E216" s="382"/>
      <c r="F216" s="383"/>
      <c r="G216" s="384"/>
      <c r="H216" s="421"/>
      <c r="I216" s="375"/>
      <c r="J216" s="375"/>
      <c r="K216" s="375"/>
      <c r="L216" s="431">
        <f>Table147[[#This Row],[Ambitious target 2030]]+Table147[[#This Row],[Ambitious target 2030]]*0.5</f>
        <v>0</v>
      </c>
      <c r="M216" s="375"/>
      <c r="N216" s="375"/>
      <c r="O216" s="431"/>
      <c r="P216" s="431"/>
      <c r="Q216" s="431">
        <f>Table147[[#This Row],[Red target]]-Table147[[#This Row],[Red target]]*0.5</f>
        <v>0</v>
      </c>
      <c r="R216" s="431"/>
      <c r="S216" s="431"/>
      <c r="T216" s="431"/>
      <c r="U216" s="431"/>
      <c r="V216" s="431"/>
      <c r="W216" s="431"/>
      <c r="X216" s="431"/>
      <c r="Y216" s="431"/>
      <c r="Z216" s="431"/>
      <c r="AA216" s="375"/>
      <c r="AB216" s="375"/>
      <c r="AC216" s="399"/>
    </row>
    <row r="217" spans="1:29" s="362" customFormat="1" hidden="1" x14ac:dyDescent="0.25">
      <c r="A217" s="389"/>
      <c r="B217" s="372"/>
      <c r="C217" s="372"/>
      <c r="D217" s="372"/>
      <c r="E217" s="382"/>
      <c r="F217" s="383"/>
      <c r="G217" s="384"/>
      <c r="H217" s="421"/>
      <c r="I217" s="375"/>
      <c r="J217" s="375"/>
      <c r="K217" s="375"/>
      <c r="L217" s="431">
        <f>Table147[[#This Row],[Ambitious target 2030]]+Table147[[#This Row],[Ambitious target 2030]]*0.5</f>
        <v>0</v>
      </c>
      <c r="M217" s="375"/>
      <c r="N217" s="375"/>
      <c r="O217" s="431"/>
      <c r="P217" s="431"/>
      <c r="Q217" s="431">
        <f>Table147[[#This Row],[Red target]]-Table147[[#This Row],[Red target]]*0.5</f>
        <v>0</v>
      </c>
      <c r="R217" s="431"/>
      <c r="S217" s="431"/>
      <c r="T217" s="431"/>
      <c r="U217" s="431"/>
      <c r="V217" s="431"/>
      <c r="W217" s="431"/>
      <c r="X217" s="431"/>
      <c r="Y217" s="431"/>
      <c r="Z217" s="431"/>
      <c r="AA217" s="375"/>
      <c r="AB217" s="375"/>
      <c r="AC217" s="399"/>
    </row>
    <row r="218" spans="1:29" s="387" customFormat="1" hidden="1" x14ac:dyDescent="0.25">
      <c r="A218" s="410"/>
      <c r="B218" s="415"/>
      <c r="C218" s="415"/>
      <c r="D218" s="415"/>
      <c r="E218" s="417">
        <v>2005</v>
      </c>
      <c r="F218" s="417">
        <v>2010</v>
      </c>
      <c r="G218" s="417">
        <v>2020</v>
      </c>
      <c r="H218" s="417"/>
      <c r="I218" s="417"/>
      <c r="J218" s="417"/>
      <c r="K218" s="417"/>
      <c r="L218" s="417">
        <f>Table147[[#This Row],[Ambitious target 2030]]+Table147[[#This Row],[Ambitious target 2030]]*0.5</f>
        <v>0</v>
      </c>
      <c r="M218" s="417"/>
      <c r="N218" s="417"/>
      <c r="O218" s="417"/>
      <c r="P218" s="417"/>
      <c r="Q218" s="417">
        <f>Table147[[#This Row],[Red target]]-Table147[[#This Row],[Red target]]*0.5</f>
        <v>0</v>
      </c>
      <c r="R218" s="417"/>
      <c r="S218" s="417"/>
      <c r="T218" s="417"/>
      <c r="U218" s="417"/>
      <c r="V218" s="417"/>
      <c r="W218" s="417"/>
      <c r="X218" s="417"/>
      <c r="Y218" s="417"/>
      <c r="Z218" s="417"/>
      <c r="AA218" s="417"/>
      <c r="AB218" s="417"/>
      <c r="AC218" s="412"/>
    </row>
    <row r="219" spans="1:29" s="362" customFormat="1" hidden="1" x14ac:dyDescent="0.25">
      <c r="A219" s="418" t="s">
        <v>956</v>
      </c>
      <c r="B219" s="436" t="s">
        <v>24</v>
      </c>
      <c r="C219" s="437" t="s">
        <v>959</v>
      </c>
      <c r="D219" s="436" t="s">
        <v>1085</v>
      </c>
      <c r="E219" s="420">
        <v>167.2</v>
      </c>
      <c r="F219" s="420">
        <v>171.4</v>
      </c>
      <c r="G219" s="420">
        <v>195</v>
      </c>
      <c r="H219" s="421">
        <v>2020</v>
      </c>
      <c r="I219" s="421">
        <v>195</v>
      </c>
      <c r="J219" s="421">
        <v>2015</v>
      </c>
      <c r="K219" s="411">
        <v>183.40299999999999</v>
      </c>
      <c r="L219" s="411">
        <f>Table147[[#This Row],[Ambitious target 2030]]-Table147[[#This Row],[Ambitious target 2030]]*0.5</f>
        <v>68.25</v>
      </c>
      <c r="M219" s="421">
        <f>Table147[[#This Row],[Data reference value]]+Table147[[#This Row],[Data reference value]]*Table147[[#This Row],[Ambitious target improvement rate 2030]]</f>
        <v>136.5</v>
      </c>
      <c r="N219" s="421">
        <v>-0.3</v>
      </c>
      <c r="O219" s="421">
        <f>(Table147[[#This Row],[Ambitious target 2030]]-Table147[[#This Row],[Model reference value]])*0.5+Table147[[#This Row],[Model reference value]]</f>
        <v>159.95150000000001</v>
      </c>
      <c r="P219" s="421"/>
      <c r="Q219" s="421">
        <f>Table147[[#This Row],[Red target]]+Table147[[#This Row],[Red target]]*0.5</f>
        <v>275.10449999999997</v>
      </c>
      <c r="R219" s="421"/>
      <c r="S219" s="421"/>
      <c r="T219" s="421"/>
      <c r="U219" s="421"/>
      <c r="V219" s="421"/>
      <c r="W219" s="421"/>
      <c r="X219" s="421"/>
      <c r="Y219" s="421"/>
      <c r="Z219" s="421">
        <f>Table147[[#This Row],[Model reference value]]</f>
        <v>183.40299999999999</v>
      </c>
      <c r="AA219" s="421" t="s">
        <v>1140</v>
      </c>
      <c r="AB219" s="421" t="s">
        <v>1088</v>
      </c>
      <c r="AC219" s="419" t="s">
        <v>979</v>
      </c>
    </row>
    <row r="220" spans="1:29" s="362" customFormat="1" hidden="1" x14ac:dyDescent="0.25">
      <c r="A220" s="389"/>
      <c r="B220" s="372"/>
      <c r="C220" s="372"/>
      <c r="D220" s="372"/>
      <c r="E220" s="379"/>
      <c r="F220" s="380"/>
      <c r="G220" s="381"/>
      <c r="H220" s="421"/>
      <c r="I220" s="375"/>
      <c r="J220" s="375"/>
      <c r="K220" s="375"/>
      <c r="L220" s="375">
        <f>Table147[[#This Row],[Ambitious target 2030]]+Table147[[#This Row],[Ambitious target 2030]]*0.5</f>
        <v>0</v>
      </c>
      <c r="M220" s="375"/>
      <c r="N220" s="375"/>
      <c r="O220" s="375"/>
      <c r="P220" s="375"/>
      <c r="Q220" s="375">
        <f>Table147[[#This Row],[Red target]]-Table147[[#This Row],[Red target]]*0.5</f>
        <v>0</v>
      </c>
      <c r="R220" s="375"/>
      <c r="S220" s="375"/>
      <c r="T220" s="375"/>
      <c r="U220" s="375"/>
      <c r="V220" s="375"/>
      <c r="W220" s="375"/>
      <c r="X220" s="375"/>
      <c r="Y220" s="375"/>
      <c r="Z220" s="375"/>
      <c r="AA220" s="375"/>
      <c r="AB220" s="375"/>
      <c r="AC220" s="399"/>
    </row>
    <row r="221" spans="1:29" s="362" customFormat="1" hidden="1" x14ac:dyDescent="0.25">
      <c r="A221" s="389"/>
      <c r="B221" s="372"/>
      <c r="C221" s="372"/>
      <c r="D221" s="372"/>
      <c r="E221" s="379"/>
      <c r="F221" s="380"/>
      <c r="G221" s="381"/>
      <c r="H221" s="421"/>
      <c r="I221" s="375"/>
      <c r="J221" s="375"/>
      <c r="K221" s="375"/>
      <c r="L221" s="375">
        <f>Table147[[#This Row],[Ambitious target 2030]]+Table147[[#This Row],[Ambitious target 2030]]*0.5</f>
        <v>0</v>
      </c>
      <c r="M221" s="375"/>
      <c r="N221" s="375"/>
      <c r="O221" s="375"/>
      <c r="P221" s="375"/>
      <c r="Q221" s="375">
        <f>Table147[[#This Row],[Red target]]-Table147[[#This Row],[Red target]]*0.5</f>
        <v>0</v>
      </c>
      <c r="R221" s="375"/>
      <c r="S221" s="375"/>
      <c r="T221" s="375"/>
      <c r="U221" s="375"/>
      <c r="V221" s="375"/>
      <c r="W221" s="375"/>
      <c r="X221" s="375"/>
      <c r="Y221" s="375"/>
      <c r="Z221" s="375"/>
      <c r="AA221" s="375"/>
      <c r="AB221" s="375"/>
      <c r="AC221" s="399"/>
    </row>
    <row r="222" spans="1:29" s="362" customFormat="1" hidden="1" x14ac:dyDescent="0.25">
      <c r="A222" s="389"/>
      <c r="B222" s="372"/>
      <c r="C222" s="372"/>
      <c r="D222" s="372"/>
      <c r="E222" s="379"/>
      <c r="F222" s="380"/>
      <c r="G222" s="381"/>
      <c r="H222" s="421"/>
      <c r="I222" s="375"/>
      <c r="J222" s="375"/>
      <c r="K222" s="375"/>
      <c r="L222" s="375">
        <f>Table147[[#This Row],[Ambitious target 2030]]+Table147[[#This Row],[Ambitious target 2030]]*0.5</f>
        <v>0</v>
      </c>
      <c r="M222" s="375"/>
      <c r="N222" s="375"/>
      <c r="O222" s="375"/>
      <c r="P222" s="375"/>
      <c r="Q222" s="375">
        <f>Table147[[#This Row],[Red target]]-Table147[[#This Row],[Red target]]*0.5</f>
        <v>0</v>
      </c>
      <c r="R222" s="375"/>
      <c r="S222" s="375"/>
      <c r="T222" s="375"/>
      <c r="U222" s="375"/>
      <c r="V222" s="375"/>
      <c r="W222" s="375"/>
      <c r="X222" s="375"/>
      <c r="Y222" s="375"/>
      <c r="Z222" s="375"/>
      <c r="AA222" s="375"/>
      <c r="AB222" s="375"/>
      <c r="AC222" s="399"/>
    </row>
    <row r="223" spans="1:29" s="362" customFormat="1" hidden="1" x14ac:dyDescent="0.25">
      <c r="A223" s="389"/>
      <c r="B223" s="372"/>
      <c r="C223" s="372"/>
      <c r="D223" s="372"/>
      <c r="E223" s="379"/>
      <c r="F223" s="380"/>
      <c r="G223" s="381"/>
      <c r="H223" s="421"/>
      <c r="I223" s="375"/>
      <c r="J223" s="375"/>
      <c r="K223" s="375"/>
      <c r="L223" s="431">
        <f>Table147[[#This Row],[Ambitious target 2030]]+Table147[[#This Row],[Ambitious target 2030]]*0.5</f>
        <v>0</v>
      </c>
      <c r="M223" s="375"/>
      <c r="N223" s="375"/>
      <c r="O223" s="431"/>
      <c r="P223" s="431"/>
      <c r="Q223" s="431">
        <f>Table147[[#This Row],[Red target]]-Table147[[#This Row],[Red target]]*0.5</f>
        <v>0</v>
      </c>
      <c r="R223" s="431"/>
      <c r="S223" s="431"/>
      <c r="T223" s="431"/>
      <c r="U223" s="431"/>
      <c r="V223" s="431"/>
      <c r="W223" s="431"/>
      <c r="X223" s="431"/>
      <c r="Y223" s="431"/>
      <c r="Z223" s="431"/>
      <c r="AA223" s="375"/>
      <c r="AB223" s="375"/>
      <c r="AC223" s="399"/>
    </row>
    <row r="224" spans="1:29" s="362" customFormat="1" hidden="1" x14ac:dyDescent="0.25">
      <c r="A224" s="389"/>
      <c r="B224" s="372"/>
      <c r="C224" s="372"/>
      <c r="D224" s="372"/>
      <c r="E224" s="379"/>
      <c r="F224" s="380"/>
      <c r="G224" s="381"/>
      <c r="H224" s="421"/>
      <c r="I224" s="375"/>
      <c r="J224" s="375"/>
      <c r="K224" s="375"/>
      <c r="L224" s="431">
        <f>Table147[[#This Row],[Ambitious target 2030]]+Table147[[#This Row],[Ambitious target 2030]]*0.5</f>
        <v>0</v>
      </c>
      <c r="M224" s="375"/>
      <c r="N224" s="375"/>
      <c r="O224" s="431"/>
      <c r="P224" s="431"/>
      <c r="Q224" s="431">
        <f>Table147[[#This Row],[Red target]]-Table147[[#This Row],[Red target]]*0.5</f>
        <v>0</v>
      </c>
      <c r="R224" s="431"/>
      <c r="S224" s="431"/>
      <c r="T224" s="431"/>
      <c r="U224" s="431"/>
      <c r="V224" s="431"/>
      <c r="W224" s="431"/>
      <c r="X224" s="431"/>
      <c r="Y224" s="431"/>
      <c r="Z224" s="431"/>
      <c r="AA224" s="375"/>
      <c r="AB224" s="375"/>
      <c r="AC224" s="399"/>
    </row>
    <row r="225" spans="1:29" s="362" customFormat="1" hidden="1" x14ac:dyDescent="0.25">
      <c r="A225" s="389"/>
      <c r="B225" s="372"/>
      <c r="C225" s="372"/>
      <c r="D225" s="372"/>
      <c r="E225" s="382"/>
      <c r="F225" s="383"/>
      <c r="G225" s="384"/>
      <c r="H225" s="421"/>
      <c r="I225" s="375"/>
      <c r="J225" s="375"/>
      <c r="K225" s="375"/>
      <c r="L225" s="375">
        <f>Table147[[#This Row],[Ambitious target 2030]]+Table147[[#This Row],[Ambitious target 2030]]*0.5</f>
        <v>0</v>
      </c>
      <c r="M225" s="375"/>
      <c r="N225" s="375"/>
      <c r="O225" s="375"/>
      <c r="P225" s="375"/>
      <c r="Q225" s="375">
        <f>Table147[[#This Row],[Red target]]-Table147[[#This Row],[Red target]]*0.5</f>
        <v>0</v>
      </c>
      <c r="R225" s="375"/>
      <c r="S225" s="375"/>
      <c r="T225" s="375"/>
      <c r="U225" s="375"/>
      <c r="V225" s="375"/>
      <c r="W225" s="375"/>
      <c r="X225" s="375"/>
      <c r="Y225" s="375"/>
      <c r="Z225" s="375"/>
      <c r="AA225" s="375"/>
      <c r="AB225" s="375"/>
      <c r="AC225" s="399"/>
    </row>
    <row r="226" spans="1:29" s="362" customFormat="1" hidden="1" x14ac:dyDescent="0.25">
      <c r="A226" s="389"/>
      <c r="B226" s="372"/>
      <c r="C226" s="372"/>
      <c r="D226" s="372"/>
      <c r="E226" s="382"/>
      <c r="F226" s="383"/>
      <c r="G226" s="384"/>
      <c r="H226" s="421"/>
      <c r="I226" s="375"/>
      <c r="J226" s="375"/>
      <c r="K226" s="375"/>
      <c r="L226" s="375">
        <f>Table147[[#This Row],[Ambitious target 2030]]+Table147[[#This Row],[Ambitious target 2030]]*0.5</f>
        <v>0</v>
      </c>
      <c r="M226" s="375"/>
      <c r="N226" s="375"/>
      <c r="O226" s="375"/>
      <c r="P226" s="375"/>
      <c r="Q226" s="375">
        <f>Table147[[#This Row],[Red target]]-Table147[[#This Row],[Red target]]*0.5</f>
        <v>0</v>
      </c>
      <c r="R226" s="375"/>
      <c r="S226" s="375"/>
      <c r="T226" s="375"/>
      <c r="U226" s="375"/>
      <c r="V226" s="375"/>
      <c r="W226" s="375"/>
      <c r="X226" s="375"/>
      <c r="Y226" s="375"/>
      <c r="Z226" s="375"/>
      <c r="AA226" s="375"/>
      <c r="AB226" s="375"/>
      <c r="AC226" s="399"/>
    </row>
    <row r="227" spans="1:29" s="362" customFormat="1" hidden="1" x14ac:dyDescent="0.25">
      <c r="A227" s="389"/>
      <c r="B227" s="372"/>
      <c r="C227" s="372"/>
      <c r="D227" s="372"/>
      <c r="E227" s="382"/>
      <c r="F227" s="383"/>
      <c r="G227" s="384"/>
      <c r="H227" s="421"/>
      <c r="I227" s="375"/>
      <c r="J227" s="375"/>
      <c r="K227" s="375"/>
      <c r="L227" s="431">
        <f>Table147[[#This Row],[Ambitious target 2030]]+Table147[[#This Row],[Ambitious target 2030]]*0.5</f>
        <v>0</v>
      </c>
      <c r="M227" s="375"/>
      <c r="N227" s="375"/>
      <c r="O227" s="431"/>
      <c r="P227" s="431"/>
      <c r="Q227" s="431">
        <f>Table147[[#This Row],[Red target]]-Table147[[#This Row],[Red target]]*0.5</f>
        <v>0</v>
      </c>
      <c r="R227" s="431"/>
      <c r="S227" s="431"/>
      <c r="T227" s="431"/>
      <c r="U227" s="431"/>
      <c r="V227" s="431"/>
      <c r="W227" s="431"/>
      <c r="X227" s="431"/>
      <c r="Y227" s="431"/>
      <c r="Z227" s="431"/>
      <c r="AA227" s="375"/>
      <c r="AB227" s="375"/>
      <c r="AC227" s="399"/>
    </row>
    <row r="228" spans="1:29" s="362" customFormat="1" hidden="1" x14ac:dyDescent="0.25">
      <c r="A228" s="389"/>
      <c r="B228" s="372"/>
      <c r="C228" s="372"/>
      <c r="D228" s="372"/>
      <c r="E228" s="382"/>
      <c r="F228" s="383"/>
      <c r="G228" s="384"/>
      <c r="H228" s="421"/>
      <c r="I228" s="375"/>
      <c r="J228" s="375"/>
      <c r="K228" s="375"/>
      <c r="L228" s="431">
        <f>Table147[[#This Row],[Ambitious target 2030]]+Table147[[#This Row],[Ambitious target 2030]]*0.5</f>
        <v>0</v>
      </c>
      <c r="M228" s="375"/>
      <c r="N228" s="375"/>
      <c r="O228" s="431"/>
      <c r="P228" s="431"/>
      <c r="Q228" s="431">
        <f>Table147[[#This Row],[Red target]]-Table147[[#This Row],[Red target]]*0.5</f>
        <v>0</v>
      </c>
      <c r="R228" s="431"/>
      <c r="S228" s="431"/>
      <c r="T228" s="431"/>
      <c r="U228" s="431"/>
      <c r="V228" s="431"/>
      <c r="W228" s="431"/>
      <c r="X228" s="431"/>
      <c r="Y228" s="431"/>
      <c r="Z228" s="431"/>
      <c r="AA228" s="375"/>
      <c r="AB228" s="375"/>
      <c r="AC228" s="399"/>
    </row>
    <row r="229" spans="1:29" s="362" customFormat="1" hidden="1" x14ac:dyDescent="0.25">
      <c r="A229" s="389"/>
      <c r="B229" s="372"/>
      <c r="C229" s="372"/>
      <c r="D229" s="372"/>
      <c r="E229" s="382"/>
      <c r="F229" s="383"/>
      <c r="G229" s="384"/>
      <c r="H229" s="421"/>
      <c r="I229" s="375"/>
      <c r="J229" s="375"/>
      <c r="K229" s="375"/>
      <c r="L229" s="431">
        <f>Table147[[#This Row],[Ambitious target 2030]]+Table147[[#This Row],[Ambitious target 2030]]*0.5</f>
        <v>0</v>
      </c>
      <c r="M229" s="375"/>
      <c r="N229" s="375"/>
      <c r="O229" s="431"/>
      <c r="P229" s="431"/>
      <c r="Q229" s="431">
        <f>Table147[[#This Row],[Red target]]-Table147[[#This Row],[Red target]]*0.5</f>
        <v>0</v>
      </c>
      <c r="R229" s="431"/>
      <c r="S229" s="431"/>
      <c r="T229" s="431"/>
      <c r="U229" s="431"/>
      <c r="V229" s="431"/>
      <c r="W229" s="431"/>
      <c r="X229" s="431"/>
      <c r="Y229" s="431"/>
      <c r="Z229" s="431"/>
      <c r="AA229" s="375"/>
      <c r="AB229" s="375"/>
      <c r="AC229" s="399"/>
    </row>
    <row r="230" spans="1:29" s="387" customFormat="1" hidden="1" x14ac:dyDescent="0.25">
      <c r="A230" s="410"/>
      <c r="B230" s="415"/>
      <c r="C230" s="415"/>
      <c r="D230" s="415"/>
      <c r="E230" s="417">
        <v>2005</v>
      </c>
      <c r="F230" s="417">
        <v>2010</v>
      </c>
      <c r="G230" s="417">
        <v>2020</v>
      </c>
      <c r="H230" s="417"/>
      <c r="I230" s="417"/>
      <c r="J230" s="417"/>
      <c r="K230" s="417"/>
      <c r="L230" s="417">
        <f>Table147[[#This Row],[Ambitious target 2030]]+Table147[[#This Row],[Ambitious target 2030]]*0.5</f>
        <v>0</v>
      </c>
      <c r="M230" s="417"/>
      <c r="N230" s="417"/>
      <c r="O230" s="417"/>
      <c r="P230" s="417"/>
      <c r="Q230" s="417">
        <f>Table147[[#This Row],[Red target]]-Table147[[#This Row],[Red target]]*0.5</f>
        <v>0</v>
      </c>
      <c r="R230" s="417"/>
      <c r="S230" s="417"/>
      <c r="T230" s="417"/>
      <c r="U230" s="417"/>
      <c r="V230" s="417"/>
      <c r="W230" s="417"/>
      <c r="X230" s="417"/>
      <c r="Y230" s="417"/>
      <c r="Z230" s="417"/>
      <c r="AA230" s="417"/>
      <c r="AB230" s="417"/>
      <c r="AC230" s="412"/>
    </row>
    <row r="231" spans="1:29" s="362" customFormat="1" hidden="1" x14ac:dyDescent="0.25">
      <c r="A231" s="418" t="s">
        <v>957</v>
      </c>
      <c r="B231" s="436" t="s">
        <v>25</v>
      </c>
      <c r="C231" s="437" t="s">
        <v>959</v>
      </c>
      <c r="D231" s="436" t="s">
        <v>1086</v>
      </c>
      <c r="E231" s="420">
        <v>101.93460156250001</v>
      </c>
      <c r="F231" s="420">
        <v>112.74639843750001</v>
      </c>
      <c r="G231" s="420">
        <v>152.18899999999999</v>
      </c>
      <c r="H231" s="421">
        <v>2020</v>
      </c>
      <c r="I231" s="421">
        <v>152.18899999999999</v>
      </c>
      <c r="J231" s="421">
        <v>2015</v>
      </c>
      <c r="K231" s="411">
        <v>130.12200000000001</v>
      </c>
      <c r="L231" s="411">
        <f>Table147[[#This Row],[Ambitious target 2030]]-Table147[[#This Row],[Ambitious target 2030]]*0.5</f>
        <v>53.266149999999996</v>
      </c>
      <c r="M231" s="421">
        <f>Table147[[#This Row],[Data reference value]]+Table147[[#This Row],[Data reference value]]*Table147[[#This Row],[Ambitious target improvement rate 2030]]</f>
        <v>106.53229999999999</v>
      </c>
      <c r="N231" s="421">
        <v>-0.3</v>
      </c>
      <c r="O231" s="421">
        <f>(Table147[[#This Row],[Ambitious target 2030]]-Table147[[#This Row],[Model reference value]])*0.5+Table147[[#This Row],[Model reference value]]</f>
        <v>118.32715</v>
      </c>
      <c r="P231" s="421"/>
      <c r="Q231" s="421">
        <f>Table147[[#This Row],[Red target]]+Table147[[#This Row],[Red target]]*0.5</f>
        <v>195.18300000000002</v>
      </c>
      <c r="R231" s="421"/>
      <c r="S231" s="421"/>
      <c r="T231" s="421"/>
      <c r="U231" s="421"/>
      <c r="V231" s="421"/>
      <c r="W231" s="421"/>
      <c r="X231" s="421"/>
      <c r="Y231" s="421"/>
      <c r="Z231" s="421">
        <f>Table147[[#This Row],[Model reference value]]</f>
        <v>130.12200000000001</v>
      </c>
      <c r="AA231" s="421" t="s">
        <v>1140</v>
      </c>
      <c r="AB231" s="421" t="s">
        <v>1089</v>
      </c>
      <c r="AC231" s="419" t="s">
        <v>979</v>
      </c>
    </row>
    <row r="232" spans="1:29" s="362" customFormat="1" hidden="1" x14ac:dyDescent="0.25">
      <c r="A232" s="389"/>
      <c r="B232" s="372"/>
      <c r="C232" s="372"/>
      <c r="D232" s="372"/>
      <c r="E232" s="379"/>
      <c r="F232" s="380"/>
      <c r="G232" s="381"/>
      <c r="H232" s="421"/>
      <c r="I232" s="375"/>
      <c r="J232" s="375"/>
      <c r="K232" s="375"/>
      <c r="L232" s="375">
        <f>Table147[[#This Row],[Ambitious target 2030]]+Table147[[#This Row],[Ambitious target 2030]]*0.5</f>
        <v>0</v>
      </c>
      <c r="M232" s="375"/>
      <c r="N232" s="375"/>
      <c r="O232" s="375"/>
      <c r="P232" s="375"/>
      <c r="Q232" s="375">
        <f>Table147[[#This Row],[Red target]]-Table147[[#This Row],[Red target]]*0.5</f>
        <v>0</v>
      </c>
      <c r="R232" s="375"/>
      <c r="S232" s="375"/>
      <c r="T232" s="375"/>
      <c r="U232" s="375"/>
      <c r="V232" s="375"/>
      <c r="W232" s="375"/>
      <c r="X232" s="375"/>
      <c r="Y232" s="375"/>
      <c r="Z232" s="375"/>
      <c r="AA232" s="375"/>
      <c r="AB232" s="375"/>
      <c r="AC232" s="399"/>
    </row>
    <row r="233" spans="1:29" s="362" customFormat="1" hidden="1" x14ac:dyDescent="0.25">
      <c r="A233" s="389"/>
      <c r="B233" s="372"/>
      <c r="C233" s="372"/>
      <c r="D233" s="372"/>
      <c r="E233" s="379"/>
      <c r="F233" s="380"/>
      <c r="G233" s="381"/>
      <c r="H233" s="421"/>
      <c r="I233" s="375"/>
      <c r="J233" s="375"/>
      <c r="K233" s="375"/>
      <c r="L233" s="375">
        <f>Table147[[#This Row],[Ambitious target 2030]]+Table147[[#This Row],[Ambitious target 2030]]*0.5</f>
        <v>0</v>
      </c>
      <c r="M233" s="375"/>
      <c r="N233" s="375"/>
      <c r="O233" s="375"/>
      <c r="P233" s="375"/>
      <c r="Q233" s="375">
        <f>Table147[[#This Row],[Red target]]-Table147[[#This Row],[Red target]]*0.5</f>
        <v>0</v>
      </c>
      <c r="R233" s="375"/>
      <c r="S233" s="375"/>
      <c r="T233" s="375"/>
      <c r="U233" s="375"/>
      <c r="V233" s="375"/>
      <c r="W233" s="375"/>
      <c r="X233" s="375"/>
      <c r="Y233" s="375"/>
      <c r="Z233" s="375"/>
      <c r="AA233" s="375"/>
      <c r="AB233" s="375"/>
      <c r="AC233" s="399"/>
    </row>
    <row r="234" spans="1:29" s="362" customFormat="1" hidden="1" x14ac:dyDescent="0.25">
      <c r="A234" s="389"/>
      <c r="B234" s="372"/>
      <c r="C234" s="372"/>
      <c r="D234" s="372"/>
      <c r="E234" s="379"/>
      <c r="F234" s="380"/>
      <c r="G234" s="381"/>
      <c r="H234" s="421"/>
      <c r="I234" s="375"/>
      <c r="J234" s="375"/>
      <c r="K234" s="375"/>
      <c r="L234" s="375">
        <f>Table147[[#This Row],[Ambitious target 2030]]+Table147[[#This Row],[Ambitious target 2030]]*0.5</f>
        <v>0</v>
      </c>
      <c r="M234" s="375"/>
      <c r="N234" s="375"/>
      <c r="O234" s="375"/>
      <c r="P234" s="375"/>
      <c r="Q234" s="375">
        <f>Table147[[#This Row],[Red target]]-Table147[[#This Row],[Red target]]*0.5</f>
        <v>0</v>
      </c>
      <c r="R234" s="375"/>
      <c r="S234" s="375"/>
      <c r="T234" s="375"/>
      <c r="U234" s="375"/>
      <c r="V234" s="375"/>
      <c r="W234" s="375"/>
      <c r="X234" s="375"/>
      <c r="Y234" s="375"/>
      <c r="Z234" s="375"/>
      <c r="AA234" s="375"/>
      <c r="AB234" s="375"/>
      <c r="AC234" s="399"/>
    </row>
    <row r="235" spans="1:29" s="362" customFormat="1" hidden="1" x14ac:dyDescent="0.25">
      <c r="A235" s="389"/>
      <c r="B235" s="372"/>
      <c r="C235" s="372"/>
      <c r="D235" s="372"/>
      <c r="E235" s="379"/>
      <c r="F235" s="380"/>
      <c r="G235" s="381"/>
      <c r="H235" s="421"/>
      <c r="I235" s="375"/>
      <c r="J235" s="375"/>
      <c r="K235" s="375"/>
      <c r="L235" s="431">
        <f>Table147[[#This Row],[Ambitious target 2030]]+Table147[[#This Row],[Ambitious target 2030]]*0.5</f>
        <v>0</v>
      </c>
      <c r="M235" s="375"/>
      <c r="N235" s="375"/>
      <c r="O235" s="431"/>
      <c r="P235" s="431"/>
      <c r="Q235" s="431">
        <f>Table147[[#This Row],[Red target]]-Table147[[#This Row],[Red target]]*0.5</f>
        <v>0</v>
      </c>
      <c r="R235" s="431"/>
      <c r="S235" s="431"/>
      <c r="T235" s="431"/>
      <c r="U235" s="431"/>
      <c r="V235" s="431"/>
      <c r="W235" s="431"/>
      <c r="X235" s="431"/>
      <c r="Y235" s="431"/>
      <c r="Z235" s="431"/>
      <c r="AA235" s="375"/>
      <c r="AB235" s="375"/>
      <c r="AC235" s="399"/>
    </row>
    <row r="236" spans="1:29" s="362" customFormat="1" hidden="1" x14ac:dyDescent="0.25">
      <c r="A236" s="389"/>
      <c r="B236" s="372"/>
      <c r="C236" s="372"/>
      <c r="D236" s="372"/>
      <c r="E236" s="379"/>
      <c r="F236" s="380"/>
      <c r="G236" s="381"/>
      <c r="H236" s="421"/>
      <c r="I236" s="375"/>
      <c r="J236" s="375"/>
      <c r="K236" s="375"/>
      <c r="L236" s="431">
        <f>Table147[[#This Row],[Ambitious target 2030]]+Table147[[#This Row],[Ambitious target 2030]]*0.5</f>
        <v>0</v>
      </c>
      <c r="M236" s="375"/>
      <c r="N236" s="375"/>
      <c r="O236" s="431"/>
      <c r="P236" s="431"/>
      <c r="Q236" s="431">
        <f>Table147[[#This Row],[Red target]]-Table147[[#This Row],[Red target]]*0.5</f>
        <v>0</v>
      </c>
      <c r="R236" s="431"/>
      <c r="S236" s="431"/>
      <c r="T236" s="431"/>
      <c r="U236" s="431"/>
      <c r="V236" s="431"/>
      <c r="W236" s="431"/>
      <c r="X236" s="431"/>
      <c r="Y236" s="431"/>
      <c r="Z236" s="431"/>
      <c r="AA236" s="375"/>
      <c r="AB236" s="375"/>
      <c r="AC236" s="399"/>
    </row>
    <row r="237" spans="1:29" s="362" customFormat="1" hidden="1" x14ac:dyDescent="0.25">
      <c r="A237" s="389"/>
      <c r="B237" s="372"/>
      <c r="C237" s="372"/>
      <c r="D237" s="372"/>
      <c r="E237" s="382"/>
      <c r="F237" s="383"/>
      <c r="G237" s="384"/>
      <c r="H237" s="421"/>
      <c r="I237" s="375"/>
      <c r="J237" s="375"/>
      <c r="K237" s="375"/>
      <c r="L237" s="375">
        <f>Table147[[#This Row],[Ambitious target 2030]]+Table147[[#This Row],[Ambitious target 2030]]*0.5</f>
        <v>0</v>
      </c>
      <c r="M237" s="375"/>
      <c r="N237" s="375"/>
      <c r="O237" s="375"/>
      <c r="P237" s="375"/>
      <c r="Q237" s="375">
        <f>Table147[[#This Row],[Red target]]-Table147[[#This Row],[Red target]]*0.5</f>
        <v>0</v>
      </c>
      <c r="R237" s="375"/>
      <c r="S237" s="375"/>
      <c r="T237" s="375"/>
      <c r="U237" s="375"/>
      <c r="V237" s="375"/>
      <c r="W237" s="375"/>
      <c r="X237" s="375"/>
      <c r="Y237" s="375"/>
      <c r="Z237" s="375"/>
      <c r="AA237" s="375"/>
      <c r="AB237" s="375"/>
      <c r="AC237" s="399"/>
    </row>
    <row r="238" spans="1:29" s="362" customFormat="1" hidden="1" x14ac:dyDescent="0.25">
      <c r="A238" s="389"/>
      <c r="B238" s="372"/>
      <c r="C238" s="372"/>
      <c r="D238" s="372"/>
      <c r="E238" s="382"/>
      <c r="F238" s="383"/>
      <c r="G238" s="384"/>
      <c r="H238" s="421"/>
      <c r="I238" s="375"/>
      <c r="J238" s="375"/>
      <c r="K238" s="375"/>
      <c r="L238" s="375">
        <f>Table147[[#This Row],[Ambitious target 2030]]+Table147[[#This Row],[Ambitious target 2030]]*0.5</f>
        <v>0</v>
      </c>
      <c r="M238" s="375"/>
      <c r="N238" s="375"/>
      <c r="O238" s="375"/>
      <c r="P238" s="375"/>
      <c r="Q238" s="375">
        <f>Table147[[#This Row],[Red target]]-Table147[[#This Row],[Red target]]*0.5</f>
        <v>0</v>
      </c>
      <c r="R238" s="375"/>
      <c r="S238" s="375"/>
      <c r="T238" s="375"/>
      <c r="U238" s="375"/>
      <c r="V238" s="375"/>
      <c r="W238" s="375"/>
      <c r="X238" s="375"/>
      <c r="Y238" s="375"/>
      <c r="Z238" s="375"/>
      <c r="AA238" s="375"/>
      <c r="AB238" s="375"/>
      <c r="AC238" s="399"/>
    </row>
    <row r="239" spans="1:29" s="362" customFormat="1" hidden="1" x14ac:dyDescent="0.25">
      <c r="A239" s="389"/>
      <c r="B239" s="372"/>
      <c r="C239" s="372"/>
      <c r="D239" s="372"/>
      <c r="E239" s="382"/>
      <c r="F239" s="383"/>
      <c r="G239" s="384"/>
      <c r="H239" s="421"/>
      <c r="I239" s="375"/>
      <c r="J239" s="375"/>
      <c r="K239" s="375"/>
      <c r="L239" s="431">
        <f>Table147[[#This Row],[Ambitious target 2030]]+Table147[[#This Row],[Ambitious target 2030]]*0.5</f>
        <v>0</v>
      </c>
      <c r="M239" s="375"/>
      <c r="N239" s="375"/>
      <c r="O239" s="431"/>
      <c r="P239" s="431"/>
      <c r="Q239" s="431">
        <f>Table147[[#This Row],[Red target]]-Table147[[#This Row],[Red target]]*0.5</f>
        <v>0</v>
      </c>
      <c r="R239" s="431"/>
      <c r="S239" s="431"/>
      <c r="T239" s="431"/>
      <c r="U239" s="431"/>
      <c r="V239" s="431"/>
      <c r="W239" s="431"/>
      <c r="X239" s="431"/>
      <c r="Y239" s="431"/>
      <c r="Z239" s="431"/>
      <c r="AA239" s="375"/>
      <c r="AB239" s="375"/>
      <c r="AC239" s="399"/>
    </row>
    <row r="240" spans="1:29" s="362" customFormat="1" hidden="1" x14ac:dyDescent="0.25">
      <c r="A240" s="389"/>
      <c r="B240" s="372"/>
      <c r="C240" s="372"/>
      <c r="D240" s="372"/>
      <c r="E240" s="382"/>
      <c r="F240" s="383"/>
      <c r="G240" s="384"/>
      <c r="H240" s="421"/>
      <c r="I240" s="375"/>
      <c r="J240" s="375"/>
      <c r="K240" s="375"/>
      <c r="L240" s="431">
        <f>Table147[[#This Row],[Ambitious target 2030]]+Table147[[#This Row],[Ambitious target 2030]]*0.5</f>
        <v>0</v>
      </c>
      <c r="M240" s="375"/>
      <c r="N240" s="375"/>
      <c r="O240" s="431"/>
      <c r="P240" s="431"/>
      <c r="Q240" s="431">
        <f>Table147[[#This Row],[Red target]]-Table147[[#This Row],[Red target]]*0.5</f>
        <v>0</v>
      </c>
      <c r="R240" s="431"/>
      <c r="S240" s="431"/>
      <c r="T240" s="431"/>
      <c r="U240" s="431"/>
      <c r="V240" s="431"/>
      <c r="W240" s="431"/>
      <c r="X240" s="431"/>
      <c r="Y240" s="431"/>
      <c r="Z240" s="431"/>
      <c r="AA240" s="375"/>
      <c r="AB240" s="375"/>
      <c r="AC240" s="399"/>
    </row>
    <row r="241" spans="1:35" s="362" customFormat="1" hidden="1" x14ac:dyDescent="0.25">
      <c r="A241" s="389"/>
      <c r="B241" s="372"/>
      <c r="C241" s="372"/>
      <c r="D241" s="372"/>
      <c r="E241" s="382"/>
      <c r="F241" s="383"/>
      <c r="G241" s="384"/>
      <c r="H241" s="421"/>
      <c r="I241" s="375"/>
      <c r="J241" s="375"/>
      <c r="K241" s="375"/>
      <c r="L241" s="431">
        <f>Table147[[#This Row],[Ambitious target 2030]]+Table147[[#This Row],[Ambitious target 2030]]*0.5</f>
        <v>0</v>
      </c>
      <c r="M241" s="375"/>
      <c r="N241" s="375"/>
      <c r="O241" s="431"/>
      <c r="P241" s="431"/>
      <c r="Q241" s="431">
        <f>Table147[[#This Row],[Red target]]-Table147[[#This Row],[Red target]]*0.5</f>
        <v>0</v>
      </c>
      <c r="R241" s="431"/>
      <c r="S241" s="431"/>
      <c r="T241" s="431"/>
      <c r="U241" s="431"/>
      <c r="V241" s="431"/>
      <c r="W241" s="431"/>
      <c r="X241" s="431"/>
      <c r="Y241" s="431"/>
      <c r="Z241" s="431"/>
      <c r="AA241" s="375"/>
      <c r="AB241" s="375"/>
      <c r="AC241" s="399"/>
    </row>
    <row r="242" spans="1:35" s="387" customFormat="1" hidden="1" x14ac:dyDescent="0.25">
      <c r="A242" s="410"/>
      <c r="B242" s="415"/>
      <c r="C242" s="415"/>
      <c r="D242" s="415"/>
      <c r="E242" s="417">
        <v>2005</v>
      </c>
      <c r="F242" s="417">
        <v>2010</v>
      </c>
      <c r="G242" s="417">
        <v>2020</v>
      </c>
      <c r="H242" s="417"/>
      <c r="I242" s="417"/>
      <c r="J242" s="417"/>
      <c r="K242" s="417"/>
      <c r="L242" s="417">
        <f>Table147[[#This Row],[Ambitious target 2030]]+Table147[[#This Row],[Ambitious target 2030]]*0.5</f>
        <v>0</v>
      </c>
      <c r="M242" s="417"/>
      <c r="N242" s="417"/>
      <c r="O242" s="417"/>
      <c r="P242" s="417"/>
      <c r="Q242" s="417">
        <f>Table147[[#This Row],[Red target]]-Table147[[#This Row],[Red target]]*0.5</f>
        <v>0</v>
      </c>
      <c r="R242" s="417"/>
      <c r="S242" s="417"/>
      <c r="T242" s="417"/>
      <c r="U242" s="417"/>
      <c r="V242" s="417"/>
      <c r="W242" s="417"/>
      <c r="X242" s="417"/>
      <c r="Y242" s="417"/>
      <c r="Z242" s="417"/>
      <c r="AA242" s="417"/>
      <c r="AB242" s="417"/>
      <c r="AC242" s="412"/>
    </row>
    <row r="243" spans="1:35" s="362" customFormat="1" hidden="1" x14ac:dyDescent="0.25">
      <c r="A243" s="418" t="s">
        <v>958</v>
      </c>
      <c r="B243" s="436" t="s">
        <v>26</v>
      </c>
      <c r="C243" s="437" t="s">
        <v>959</v>
      </c>
      <c r="D243" s="436" t="s">
        <v>1083</v>
      </c>
      <c r="E243" s="420">
        <v>121.29900000000001</v>
      </c>
      <c r="F243" s="420">
        <v>139.73400000000001</v>
      </c>
      <c r="G243" s="420">
        <v>143.77099999999999</v>
      </c>
      <c r="H243" s="421">
        <v>2020</v>
      </c>
      <c r="I243" s="421">
        <v>143.77099999999999</v>
      </c>
      <c r="J243" s="421">
        <v>2015</v>
      </c>
      <c r="K243" s="411">
        <v>105.98</v>
      </c>
      <c r="L243" s="411">
        <f>Table147[[#This Row],[Ambitious target 2030]]-Table147[[#This Row],[Ambitious target 2030]]*0.5</f>
        <v>50.319849999999995</v>
      </c>
      <c r="M243" s="421">
        <f>Table147[[#This Row],[Data reference value]]+Table147[[#This Row],[Data reference value]]*Table147[[#This Row],[Ambitious target improvement rate 2030]]</f>
        <v>100.63969999999999</v>
      </c>
      <c r="N243" s="421">
        <v>-0.3</v>
      </c>
      <c r="O243" s="421">
        <f>(Table147[[#This Row],[Ambitious target 2030]]-Table147[[#This Row],[Model reference value]])*0.5+Table147[[#This Row],[Model reference value]]</f>
        <v>103.30985</v>
      </c>
      <c r="P243" s="421"/>
      <c r="Q243" s="421">
        <f>Table147[[#This Row],[Red target]]+Table147[[#This Row],[Red target]]*0.5</f>
        <v>158.97</v>
      </c>
      <c r="R243" s="421"/>
      <c r="S243" s="421"/>
      <c r="T243" s="421"/>
      <c r="U243" s="421"/>
      <c r="V243" s="421"/>
      <c r="W243" s="421"/>
      <c r="X243" s="421"/>
      <c r="Y243" s="421"/>
      <c r="Z243" s="421">
        <f>Table147[[#This Row],[Model reference value]]</f>
        <v>105.98</v>
      </c>
      <c r="AA243" s="421" t="s">
        <v>1140</v>
      </c>
      <c r="AB243" s="421" t="s">
        <v>1087</v>
      </c>
      <c r="AC243" s="419" t="s">
        <v>979</v>
      </c>
    </row>
    <row r="244" spans="1:35" s="362" customFormat="1" hidden="1" x14ac:dyDescent="0.25">
      <c r="A244" s="389"/>
      <c r="B244" s="372"/>
      <c r="C244" s="372"/>
      <c r="D244" s="372"/>
      <c r="E244" s="379"/>
      <c r="F244" s="380"/>
      <c r="G244" s="381"/>
      <c r="H244" s="421"/>
      <c r="I244" s="375"/>
      <c r="J244" s="375"/>
      <c r="K244" s="375"/>
      <c r="L244" s="375">
        <f>Table147[[#This Row],[Ambitious target 2030]]+Table147[[#This Row],[Ambitious target 2030]]*0.5</f>
        <v>0</v>
      </c>
      <c r="M244" s="375"/>
      <c r="N244" s="375"/>
      <c r="O244" s="375"/>
      <c r="P244" s="375"/>
      <c r="Q244" s="375">
        <f>Table147[[#This Row],[Red target]]-Table147[[#This Row],[Red target]]*0.5</f>
        <v>0</v>
      </c>
      <c r="R244" s="375"/>
      <c r="S244" s="375"/>
      <c r="T244" s="375"/>
      <c r="U244" s="375"/>
      <c r="V244" s="375"/>
      <c r="W244" s="375"/>
      <c r="X244" s="375"/>
      <c r="Y244" s="375"/>
      <c r="Z244" s="375"/>
      <c r="AA244" s="375"/>
      <c r="AB244" s="375"/>
      <c r="AC244" s="399"/>
    </row>
    <row r="245" spans="1:35" s="362" customFormat="1" hidden="1" x14ac:dyDescent="0.25">
      <c r="A245" s="389"/>
      <c r="B245" s="372"/>
      <c r="C245" s="372"/>
      <c r="D245" s="372"/>
      <c r="E245" s="379"/>
      <c r="F245" s="380"/>
      <c r="G245" s="381"/>
      <c r="H245" s="421"/>
      <c r="I245" s="375"/>
      <c r="J245" s="375"/>
      <c r="K245" s="375"/>
      <c r="L245" s="375">
        <f>Table147[[#This Row],[Ambitious target 2030]]+Table147[[#This Row],[Ambitious target 2030]]*0.5</f>
        <v>0</v>
      </c>
      <c r="M245" s="375"/>
      <c r="N245" s="375"/>
      <c r="O245" s="375"/>
      <c r="P245" s="375"/>
      <c r="Q245" s="375">
        <f>Table147[[#This Row],[Red target]]-Table147[[#This Row],[Red target]]*0.5</f>
        <v>0</v>
      </c>
      <c r="R245" s="375"/>
      <c r="S245" s="375"/>
      <c r="T245" s="375"/>
      <c r="U245" s="375"/>
      <c r="V245" s="375"/>
      <c r="W245" s="375"/>
      <c r="X245" s="375"/>
      <c r="Y245" s="375"/>
      <c r="Z245" s="375"/>
      <c r="AA245" s="375"/>
      <c r="AB245" s="375"/>
      <c r="AC245" s="399"/>
    </row>
    <row r="246" spans="1:35" s="362" customFormat="1" hidden="1" x14ac:dyDescent="0.25">
      <c r="A246" s="389"/>
      <c r="B246" s="372"/>
      <c r="C246" s="372"/>
      <c r="D246" s="372"/>
      <c r="E246" s="379"/>
      <c r="F246" s="380"/>
      <c r="G246" s="381"/>
      <c r="H246" s="421"/>
      <c r="I246" s="375"/>
      <c r="J246" s="375"/>
      <c r="K246" s="375"/>
      <c r="L246" s="375">
        <f>Table147[[#This Row],[Ambitious target 2030]]+Table147[[#This Row],[Ambitious target 2030]]*0.5</f>
        <v>0</v>
      </c>
      <c r="M246" s="375"/>
      <c r="N246" s="375"/>
      <c r="O246" s="375"/>
      <c r="P246" s="375"/>
      <c r="Q246" s="375">
        <f>Table147[[#This Row],[Red target]]-Table147[[#This Row],[Red target]]*0.5</f>
        <v>0</v>
      </c>
      <c r="R246" s="375"/>
      <c r="S246" s="375"/>
      <c r="T246" s="375"/>
      <c r="U246" s="375"/>
      <c r="V246" s="375"/>
      <c r="W246" s="375"/>
      <c r="X246" s="375"/>
      <c r="Y246" s="375"/>
      <c r="Z246" s="375"/>
      <c r="AA246" s="375"/>
      <c r="AB246" s="375"/>
      <c r="AC246" s="399"/>
    </row>
    <row r="247" spans="1:35" s="362" customFormat="1" hidden="1" x14ac:dyDescent="0.25">
      <c r="A247" s="389"/>
      <c r="B247" s="372"/>
      <c r="C247" s="372"/>
      <c r="D247" s="372"/>
      <c r="E247" s="379"/>
      <c r="F247" s="380"/>
      <c r="G247" s="381"/>
      <c r="H247" s="421"/>
      <c r="I247" s="375"/>
      <c r="J247" s="375"/>
      <c r="K247" s="375"/>
      <c r="L247" s="431">
        <f>Table147[[#This Row],[Ambitious target 2030]]+Table147[[#This Row],[Ambitious target 2030]]*0.5</f>
        <v>0</v>
      </c>
      <c r="M247" s="375"/>
      <c r="N247" s="375"/>
      <c r="O247" s="431"/>
      <c r="P247" s="431"/>
      <c r="Q247" s="431">
        <f>Table147[[#This Row],[Red target]]-Table147[[#This Row],[Red target]]*0.5</f>
        <v>0</v>
      </c>
      <c r="R247" s="431"/>
      <c r="S247" s="431"/>
      <c r="T247" s="431"/>
      <c r="U247" s="431"/>
      <c r="V247" s="431"/>
      <c r="W247" s="431"/>
      <c r="X247" s="431"/>
      <c r="Y247" s="431"/>
      <c r="Z247" s="431"/>
      <c r="AA247" s="375"/>
      <c r="AB247" s="375"/>
      <c r="AC247" s="399"/>
    </row>
    <row r="248" spans="1:35" s="362" customFormat="1" hidden="1" x14ac:dyDescent="0.25">
      <c r="A248" s="389"/>
      <c r="B248" s="372"/>
      <c r="C248" s="372"/>
      <c r="D248" s="372"/>
      <c r="E248" s="379"/>
      <c r="F248" s="380"/>
      <c r="G248" s="381"/>
      <c r="H248" s="421"/>
      <c r="I248" s="375"/>
      <c r="J248" s="375"/>
      <c r="K248" s="375"/>
      <c r="L248" s="431">
        <f>Table147[[#This Row],[Ambitious target 2030]]+Table147[[#This Row],[Ambitious target 2030]]*0.5</f>
        <v>0</v>
      </c>
      <c r="M248" s="375"/>
      <c r="N248" s="375"/>
      <c r="O248" s="431"/>
      <c r="P248" s="431"/>
      <c r="Q248" s="431">
        <f>Table147[[#This Row],[Red target]]-Table147[[#This Row],[Red target]]*0.5</f>
        <v>0</v>
      </c>
      <c r="R248" s="431"/>
      <c r="S248" s="431"/>
      <c r="T248" s="431"/>
      <c r="U248" s="431"/>
      <c r="V248" s="431"/>
      <c r="W248" s="431"/>
      <c r="X248" s="431"/>
      <c r="Y248" s="431"/>
      <c r="Z248" s="431"/>
      <c r="AA248" s="375"/>
      <c r="AB248" s="375"/>
      <c r="AC248" s="399"/>
    </row>
    <row r="249" spans="1:35" s="362" customFormat="1" hidden="1" x14ac:dyDescent="0.25">
      <c r="A249" s="389"/>
      <c r="B249" s="372"/>
      <c r="C249" s="372"/>
      <c r="D249" s="372"/>
      <c r="E249" s="382"/>
      <c r="F249" s="383"/>
      <c r="G249" s="384"/>
      <c r="H249" s="421"/>
      <c r="I249" s="375"/>
      <c r="J249" s="375"/>
      <c r="K249" s="375"/>
      <c r="L249" s="375">
        <f>Table147[[#This Row],[Ambitious target 2030]]+Table147[[#This Row],[Ambitious target 2030]]*0.5</f>
        <v>0</v>
      </c>
      <c r="M249" s="375"/>
      <c r="N249" s="375"/>
      <c r="O249" s="375"/>
      <c r="P249" s="375"/>
      <c r="Q249" s="375">
        <f>Table147[[#This Row],[Red target]]-Table147[[#This Row],[Red target]]*0.5</f>
        <v>0</v>
      </c>
      <c r="R249" s="375"/>
      <c r="S249" s="375"/>
      <c r="T249" s="375"/>
      <c r="U249" s="375"/>
      <c r="V249" s="375"/>
      <c r="W249" s="375"/>
      <c r="X249" s="375"/>
      <c r="Y249" s="375"/>
      <c r="Z249" s="375"/>
      <c r="AA249" s="375"/>
      <c r="AB249" s="375"/>
      <c r="AC249" s="399"/>
    </row>
    <row r="250" spans="1:35" s="362" customFormat="1" hidden="1" x14ac:dyDescent="0.25">
      <c r="A250" s="389"/>
      <c r="B250" s="372"/>
      <c r="C250" s="372"/>
      <c r="D250" s="372"/>
      <c r="E250" s="382"/>
      <c r="F250" s="383"/>
      <c r="G250" s="384"/>
      <c r="H250" s="421"/>
      <c r="I250" s="375"/>
      <c r="J250" s="375"/>
      <c r="K250" s="375"/>
      <c r="L250" s="375">
        <f>Table147[[#This Row],[Ambitious target 2030]]+Table147[[#This Row],[Ambitious target 2030]]*0.5</f>
        <v>0</v>
      </c>
      <c r="M250" s="375"/>
      <c r="N250" s="375"/>
      <c r="O250" s="375"/>
      <c r="P250" s="375"/>
      <c r="Q250" s="375">
        <f>Table147[[#This Row],[Red target]]-Table147[[#This Row],[Red target]]*0.5</f>
        <v>0</v>
      </c>
      <c r="R250" s="375"/>
      <c r="S250" s="375"/>
      <c r="T250" s="375"/>
      <c r="U250" s="375"/>
      <c r="V250" s="375"/>
      <c r="W250" s="375"/>
      <c r="X250" s="375"/>
      <c r="Y250" s="375"/>
      <c r="Z250" s="375"/>
      <c r="AA250" s="375"/>
      <c r="AB250" s="375"/>
      <c r="AC250" s="399"/>
    </row>
    <row r="251" spans="1:35" s="362" customFormat="1" hidden="1" x14ac:dyDescent="0.25">
      <c r="A251" s="389"/>
      <c r="B251" s="372"/>
      <c r="C251" s="372"/>
      <c r="D251" s="372"/>
      <c r="E251" s="382"/>
      <c r="F251" s="383"/>
      <c r="G251" s="384"/>
      <c r="H251" s="421"/>
      <c r="I251" s="375"/>
      <c r="J251" s="375"/>
      <c r="K251" s="375"/>
      <c r="L251" s="431">
        <f>Table147[[#This Row],[Ambitious target 2030]]+Table147[[#This Row],[Ambitious target 2030]]*0.5</f>
        <v>0</v>
      </c>
      <c r="M251" s="375"/>
      <c r="N251" s="375"/>
      <c r="O251" s="431"/>
      <c r="P251" s="431"/>
      <c r="Q251" s="431">
        <f>Table147[[#This Row],[Red target]]-Table147[[#This Row],[Red target]]*0.5</f>
        <v>0</v>
      </c>
      <c r="R251" s="431"/>
      <c r="S251" s="431"/>
      <c r="T251" s="431"/>
      <c r="U251" s="431"/>
      <c r="V251" s="431"/>
      <c r="W251" s="431"/>
      <c r="X251" s="431"/>
      <c r="Y251" s="431"/>
      <c r="Z251" s="431"/>
      <c r="AA251" s="375"/>
      <c r="AB251" s="375"/>
      <c r="AC251" s="399"/>
    </row>
    <row r="252" spans="1:35" s="362" customFormat="1" hidden="1" x14ac:dyDescent="0.25">
      <c r="A252" s="389"/>
      <c r="B252" s="372"/>
      <c r="C252" s="372"/>
      <c r="D252" s="372"/>
      <c r="E252" s="382"/>
      <c r="F252" s="383"/>
      <c r="G252" s="384"/>
      <c r="H252" s="421"/>
      <c r="I252" s="375"/>
      <c r="J252" s="375"/>
      <c r="K252" s="375"/>
      <c r="L252" s="431">
        <f>Table147[[#This Row],[Ambitious target 2030]]+Table147[[#This Row],[Ambitious target 2030]]*0.5</f>
        <v>0</v>
      </c>
      <c r="M252" s="375"/>
      <c r="N252" s="375"/>
      <c r="O252" s="431"/>
      <c r="P252" s="431"/>
      <c r="Q252" s="431">
        <f>Table147[[#This Row],[Red target]]-Table147[[#This Row],[Red target]]*0.5</f>
        <v>0</v>
      </c>
      <c r="R252" s="431"/>
      <c r="S252" s="431"/>
      <c r="T252" s="431"/>
      <c r="U252" s="431"/>
      <c r="V252" s="431"/>
      <c r="W252" s="431"/>
      <c r="X252" s="431"/>
      <c r="Y252" s="431"/>
      <c r="Z252" s="431"/>
      <c r="AA252" s="375"/>
      <c r="AB252" s="375"/>
      <c r="AC252" s="399"/>
    </row>
    <row r="253" spans="1:35" s="362" customFormat="1" hidden="1" x14ac:dyDescent="0.25">
      <c r="A253" s="389"/>
      <c r="B253" s="372"/>
      <c r="C253" s="372"/>
      <c r="D253" s="372"/>
      <c r="E253" s="382"/>
      <c r="F253" s="383"/>
      <c r="G253" s="384"/>
      <c r="H253" s="421"/>
      <c r="I253" s="375"/>
      <c r="J253" s="375"/>
      <c r="K253" s="375"/>
      <c r="L253" s="431">
        <f>Table147[[#This Row],[Ambitious target 2030]]+Table147[[#This Row],[Ambitious target 2030]]*0.5</f>
        <v>0</v>
      </c>
      <c r="M253" s="375"/>
      <c r="N253" s="375"/>
      <c r="O253" s="431"/>
      <c r="P253" s="431"/>
      <c r="Q253" s="431">
        <f>Table147[[#This Row],[Red target]]-Table147[[#This Row],[Red target]]*0.5</f>
        <v>0</v>
      </c>
      <c r="R253" s="431"/>
      <c r="S253" s="431"/>
      <c r="T253" s="431"/>
      <c r="U253" s="431"/>
      <c r="V253" s="431"/>
      <c r="W253" s="431"/>
      <c r="X253" s="431"/>
      <c r="Y253" s="431"/>
      <c r="Z253" s="431"/>
      <c r="AA253" s="375"/>
      <c r="AB253" s="375"/>
      <c r="AC253" s="399"/>
    </row>
    <row r="254" spans="1:35" s="386" customFormat="1" hidden="1" x14ac:dyDescent="0.25">
      <c r="A254" s="409"/>
      <c r="B254" s="406"/>
      <c r="C254" s="406"/>
      <c r="D254" s="406"/>
      <c r="E254" s="407">
        <v>2013</v>
      </c>
      <c r="F254" s="407">
        <v>2014</v>
      </c>
      <c r="G254" s="407">
        <v>2015</v>
      </c>
      <c r="H254" s="407"/>
      <c r="I254" s="407"/>
      <c r="J254" s="407"/>
      <c r="K254" s="407"/>
      <c r="L254" s="407">
        <f>Table147[[#This Row],[Ambitious target 2030]]+Table147[[#This Row],[Ambitious target 2030]]*0.5</f>
        <v>0</v>
      </c>
      <c r="M254" s="407"/>
      <c r="N254" s="407"/>
      <c r="O254" s="407"/>
      <c r="P254" s="407"/>
      <c r="Q254" s="407">
        <f>Table147[[#This Row],[Red target]]-Table147[[#This Row],[Red target]]*0.5</f>
        <v>0</v>
      </c>
      <c r="R254" s="407"/>
      <c r="S254" s="407"/>
      <c r="T254" s="407"/>
      <c r="U254" s="407"/>
      <c r="V254" s="407"/>
      <c r="W254" s="407"/>
      <c r="X254" s="407"/>
      <c r="Y254" s="407"/>
      <c r="Z254" s="407"/>
      <c r="AA254" s="407"/>
      <c r="AB254" s="407"/>
      <c r="AC254" s="413"/>
    </row>
    <row r="255" spans="1:35" x14ac:dyDescent="0.25">
      <c r="A255" s="418" t="s">
        <v>571</v>
      </c>
      <c r="B255" s="437" t="s">
        <v>483</v>
      </c>
      <c r="C255" s="437" t="s">
        <v>843</v>
      </c>
      <c r="D255" s="436" t="s">
        <v>904</v>
      </c>
      <c r="E255" s="420">
        <v>5.488310501</v>
      </c>
      <c r="F255" s="420">
        <v>5.2860607750000002</v>
      </c>
      <c r="G255" s="420">
        <v>5.1313796829999996</v>
      </c>
      <c r="H255" s="421">
        <v>2015</v>
      </c>
      <c r="I255" s="421">
        <v>5.1313796829999996</v>
      </c>
      <c r="J255" s="421">
        <v>2015</v>
      </c>
      <c r="K255" s="411">
        <v>7.7073099999999997</v>
      </c>
      <c r="L255" s="411">
        <f>Table147[[#This Row],[Ambitious target 2030]]-Table147[[#This Row],[Ambitious target 2030]]*0.5</f>
        <v>1.924267381125</v>
      </c>
      <c r="M255" s="421">
        <f>I255*0.75</f>
        <v>3.8485347622499999</v>
      </c>
      <c r="N255" s="421"/>
      <c r="O255" s="421">
        <f>(M255-K255)*0.5+K255</f>
        <v>5.7779223811250002</v>
      </c>
      <c r="P255" s="421"/>
      <c r="Q255" s="421">
        <f>Table147[[#This Row],[Red target]]+Table147[[#This Row],[Red target]]*0.5</f>
        <v>11.560964999999999</v>
      </c>
      <c r="R255" s="421"/>
      <c r="S255" s="421"/>
      <c r="T255" s="421"/>
      <c r="U255" s="421"/>
      <c r="V255" s="421"/>
      <c r="W255" s="421"/>
      <c r="X255" s="421"/>
      <c r="Y255" s="421"/>
      <c r="Z255" s="421">
        <f>K255</f>
        <v>7.7073099999999997</v>
      </c>
      <c r="AA255" s="421" t="s">
        <v>982</v>
      </c>
      <c r="AB255" s="421" t="s">
        <v>1167</v>
      </c>
      <c r="AC255" s="419" t="s">
        <v>839</v>
      </c>
      <c r="AD255" s="360"/>
      <c r="AE255" s="360"/>
      <c r="AF255" s="360"/>
      <c r="AG255" s="360"/>
      <c r="AH255" s="360"/>
      <c r="AI255" s="360"/>
    </row>
    <row r="256" spans="1:35" hidden="1" x14ac:dyDescent="0.25">
      <c r="A256" s="390"/>
      <c r="B256" s="369"/>
      <c r="C256" s="369"/>
      <c r="D256" s="378" t="s">
        <v>712</v>
      </c>
      <c r="E256" s="379">
        <v>16.734988560000001</v>
      </c>
      <c r="F256" s="380">
        <v>16.582300740000001</v>
      </c>
      <c r="G256" s="381">
        <v>17.310574519999999</v>
      </c>
      <c r="H256" s="421"/>
      <c r="I256" s="375"/>
      <c r="J256" s="375"/>
      <c r="K256" s="375"/>
      <c r="L256" s="375">
        <f>Table147[[#This Row],[Ambitious target 2030]]+Table147[[#This Row],[Ambitious target 2030]]*0.5</f>
        <v>0</v>
      </c>
      <c r="M256" s="375"/>
      <c r="N256" s="375"/>
      <c r="O256" s="375"/>
      <c r="P256" s="375"/>
      <c r="Q256" s="375">
        <f>Table147[[#This Row],[Red target]]-Table147[[#This Row],[Red target]]*0.5</f>
        <v>0</v>
      </c>
      <c r="R256" s="375"/>
      <c r="S256" s="375"/>
      <c r="T256" s="375"/>
      <c r="U256" s="375"/>
      <c r="V256" s="375"/>
      <c r="W256" s="375"/>
      <c r="X256" s="375"/>
      <c r="Y256" s="375"/>
      <c r="Z256" s="375"/>
      <c r="AA256" s="375"/>
      <c r="AB256" s="375"/>
      <c r="AC256" s="396"/>
      <c r="AD256" s="360"/>
      <c r="AE256" s="360"/>
      <c r="AF256" s="360"/>
      <c r="AG256" s="360"/>
      <c r="AH256" s="360"/>
      <c r="AI256" s="360"/>
    </row>
    <row r="257" spans="1:35" hidden="1" x14ac:dyDescent="0.25">
      <c r="A257" s="390"/>
      <c r="B257" s="369"/>
      <c r="C257" s="369"/>
      <c r="D257" s="378" t="s">
        <v>840</v>
      </c>
      <c r="E257" s="379">
        <v>11.89074847</v>
      </c>
      <c r="F257" s="380">
        <v>11.0696613</v>
      </c>
      <c r="G257" s="381">
        <v>9.9933753870000004</v>
      </c>
      <c r="H257" s="421"/>
      <c r="I257" s="375"/>
      <c r="J257" s="375"/>
      <c r="K257" s="375"/>
      <c r="L257" s="375">
        <f>Table147[[#This Row],[Ambitious target 2030]]+Table147[[#This Row],[Ambitious target 2030]]*0.5</f>
        <v>0</v>
      </c>
      <c r="M257" s="375"/>
      <c r="N257" s="375"/>
      <c r="O257" s="375"/>
      <c r="P257" s="375"/>
      <c r="Q257" s="375">
        <f>Table147[[#This Row],[Red target]]-Table147[[#This Row],[Red target]]*0.5</f>
        <v>0</v>
      </c>
      <c r="R257" s="375"/>
      <c r="S257" s="375"/>
      <c r="T257" s="375"/>
      <c r="U257" s="375"/>
      <c r="V257" s="375"/>
      <c r="W257" s="375"/>
      <c r="X257" s="375"/>
      <c r="Y257" s="375"/>
      <c r="Z257" s="375"/>
      <c r="AA257" s="375"/>
      <c r="AB257" s="375"/>
      <c r="AC257" s="396"/>
      <c r="AD257" s="360"/>
      <c r="AE257" s="360"/>
      <c r="AF257" s="360"/>
      <c r="AG257" s="360"/>
      <c r="AH257" s="360"/>
      <c r="AI257" s="360"/>
    </row>
    <row r="258" spans="1:35" hidden="1" x14ac:dyDescent="0.25">
      <c r="A258" s="390"/>
      <c r="B258" s="369"/>
      <c r="C258" s="369"/>
      <c r="D258" s="378" t="s">
        <v>776</v>
      </c>
      <c r="E258" s="379">
        <v>8.8373241339999993</v>
      </c>
      <c r="F258" s="380">
        <v>9.0336274939999992</v>
      </c>
      <c r="G258" s="381">
        <v>8.6993253500000005</v>
      </c>
      <c r="H258" s="421"/>
      <c r="I258" s="375"/>
      <c r="J258" s="375"/>
      <c r="K258" s="375"/>
      <c r="L258" s="375">
        <f>Table147[[#This Row],[Ambitious target 2030]]+Table147[[#This Row],[Ambitious target 2030]]*0.5</f>
        <v>0</v>
      </c>
      <c r="M258" s="375"/>
      <c r="N258" s="375"/>
      <c r="O258" s="375"/>
      <c r="P258" s="375"/>
      <c r="Q258" s="375">
        <f>Table147[[#This Row],[Red target]]-Table147[[#This Row],[Red target]]*0.5</f>
        <v>0</v>
      </c>
      <c r="R258" s="375"/>
      <c r="S258" s="375"/>
      <c r="T258" s="375"/>
      <c r="U258" s="375"/>
      <c r="V258" s="375"/>
      <c r="W258" s="375"/>
      <c r="X258" s="375"/>
      <c r="Y258" s="375"/>
      <c r="Z258" s="375"/>
      <c r="AA258" s="375"/>
      <c r="AB258" s="375"/>
      <c r="AC258" s="396"/>
      <c r="AD258" s="360"/>
      <c r="AE258" s="360"/>
      <c r="AF258" s="360"/>
      <c r="AG258" s="360"/>
      <c r="AH258" s="360"/>
      <c r="AI258" s="360"/>
    </row>
    <row r="259" spans="1:35" hidden="1" x14ac:dyDescent="0.25">
      <c r="A259" s="390"/>
      <c r="B259" s="369"/>
      <c r="C259" s="369"/>
      <c r="D259" s="378" t="s">
        <v>841</v>
      </c>
      <c r="E259" s="379">
        <v>8.4565370820000005</v>
      </c>
      <c r="F259" s="380">
        <v>8.3456060240000003</v>
      </c>
      <c r="G259" s="381">
        <v>8.4132177509999995</v>
      </c>
      <c r="H259" s="421"/>
      <c r="I259" s="375"/>
      <c r="J259" s="375"/>
      <c r="K259" s="375"/>
      <c r="L259" s="375">
        <f>Table147[[#This Row],[Ambitious target 2030]]+Table147[[#This Row],[Ambitious target 2030]]*0.5</f>
        <v>0</v>
      </c>
      <c r="M259" s="375"/>
      <c r="N259" s="375"/>
      <c r="O259" s="375"/>
      <c r="P259" s="375"/>
      <c r="Q259" s="375">
        <f>Table147[[#This Row],[Red target]]-Table147[[#This Row],[Red target]]*0.5</f>
        <v>0</v>
      </c>
      <c r="R259" s="375"/>
      <c r="S259" s="375"/>
      <c r="T259" s="375"/>
      <c r="U259" s="375"/>
      <c r="V259" s="375"/>
      <c r="W259" s="375"/>
      <c r="X259" s="375"/>
      <c r="Y259" s="375"/>
      <c r="Z259" s="375"/>
      <c r="AA259" s="375"/>
      <c r="AB259" s="375"/>
      <c r="AC259" s="396"/>
      <c r="AD259" s="360"/>
      <c r="AE259" s="360"/>
      <c r="AF259" s="360"/>
      <c r="AG259" s="360"/>
      <c r="AH259" s="360"/>
      <c r="AI259" s="360"/>
    </row>
    <row r="260" spans="1:35" hidden="1" x14ac:dyDescent="0.25">
      <c r="A260" s="390"/>
      <c r="B260" s="369"/>
      <c r="C260" s="369"/>
      <c r="D260" s="378" t="s">
        <v>842</v>
      </c>
      <c r="E260" s="379">
        <v>7.9524161830000004</v>
      </c>
      <c r="F260" s="380">
        <v>8.1606778260000006</v>
      </c>
      <c r="G260" s="381">
        <v>8.3922668569999992</v>
      </c>
      <c r="H260" s="421"/>
      <c r="I260" s="375"/>
      <c r="J260" s="375"/>
      <c r="K260" s="375"/>
      <c r="L260" s="375">
        <f>Table147[[#This Row],[Ambitious target 2030]]+Table147[[#This Row],[Ambitious target 2030]]*0.5</f>
        <v>0</v>
      </c>
      <c r="M260" s="375"/>
      <c r="N260" s="375"/>
      <c r="O260" s="375"/>
      <c r="P260" s="375"/>
      <c r="Q260" s="375">
        <f>Table147[[#This Row],[Red target]]-Table147[[#This Row],[Red target]]*0.5</f>
        <v>0</v>
      </c>
      <c r="R260" s="375"/>
      <c r="S260" s="375"/>
      <c r="T260" s="375"/>
      <c r="U260" s="375"/>
      <c r="V260" s="375"/>
      <c r="W260" s="375"/>
      <c r="X260" s="375"/>
      <c r="Y260" s="375"/>
      <c r="Z260" s="375"/>
      <c r="AA260" s="375"/>
      <c r="AB260" s="375"/>
      <c r="AC260" s="396"/>
      <c r="AD260" s="360"/>
      <c r="AE260" s="360"/>
      <c r="AF260" s="360"/>
      <c r="AG260" s="360"/>
      <c r="AH260" s="360"/>
      <c r="AI260" s="360"/>
    </row>
    <row r="261" spans="1:35" hidden="1" x14ac:dyDescent="0.25">
      <c r="A261" s="390"/>
      <c r="B261" s="369"/>
      <c r="C261" s="369"/>
      <c r="D261" s="378" t="s">
        <v>708</v>
      </c>
      <c r="E261" s="382">
        <v>1.573636727</v>
      </c>
      <c r="F261" s="383">
        <v>1.5536858140000001</v>
      </c>
      <c r="G261" s="384">
        <v>1.488085793</v>
      </c>
      <c r="H261" s="421"/>
      <c r="I261" s="375"/>
      <c r="J261" s="375"/>
      <c r="K261" s="375"/>
      <c r="L261" s="375">
        <f>Table147[[#This Row],[Ambitious target 2030]]+Table147[[#This Row],[Ambitious target 2030]]*0.5</f>
        <v>0</v>
      </c>
      <c r="M261" s="375"/>
      <c r="N261" s="375"/>
      <c r="O261" s="375"/>
      <c r="P261" s="375"/>
      <c r="Q261" s="375">
        <f>Table147[[#This Row],[Red target]]-Table147[[#This Row],[Red target]]*0.5</f>
        <v>0</v>
      </c>
      <c r="R261" s="375"/>
      <c r="S261" s="375"/>
      <c r="T261" s="375"/>
      <c r="U261" s="375"/>
      <c r="V261" s="375"/>
      <c r="W261" s="375"/>
      <c r="X261" s="375"/>
      <c r="Y261" s="375"/>
      <c r="Z261" s="375"/>
      <c r="AA261" s="375"/>
      <c r="AB261" s="375"/>
      <c r="AC261" s="396"/>
      <c r="AD261" s="360"/>
      <c r="AE261" s="360"/>
      <c r="AF261" s="360"/>
      <c r="AG261" s="360"/>
      <c r="AH261" s="360"/>
      <c r="AI261" s="360"/>
    </row>
    <row r="262" spans="1:35" hidden="1" x14ac:dyDescent="0.25">
      <c r="A262" s="390"/>
      <c r="B262" s="369"/>
      <c r="C262" s="369"/>
      <c r="D262" s="378" t="s">
        <v>681</v>
      </c>
      <c r="E262" s="382">
        <v>2.5662079969999998</v>
      </c>
      <c r="F262" s="383">
        <v>2.3651286439999999</v>
      </c>
      <c r="G262" s="384">
        <v>1.94829341</v>
      </c>
      <c r="H262" s="421"/>
      <c r="I262" s="375"/>
      <c r="J262" s="375"/>
      <c r="K262" s="375"/>
      <c r="L262" s="375">
        <f>Table147[[#This Row],[Ambitious target 2030]]+Table147[[#This Row],[Ambitious target 2030]]*0.5</f>
        <v>0</v>
      </c>
      <c r="M262" s="375"/>
      <c r="N262" s="375"/>
      <c r="O262" s="375"/>
      <c r="P262" s="375"/>
      <c r="Q262" s="375">
        <f>Table147[[#This Row],[Red target]]-Table147[[#This Row],[Red target]]*0.5</f>
        <v>0</v>
      </c>
      <c r="R262" s="375"/>
      <c r="S262" s="375"/>
      <c r="T262" s="375"/>
      <c r="U262" s="375"/>
      <c r="V262" s="375"/>
      <c r="W262" s="375"/>
      <c r="X262" s="375"/>
      <c r="Y262" s="375"/>
      <c r="Z262" s="375"/>
      <c r="AA262" s="375"/>
      <c r="AB262" s="375"/>
      <c r="AC262" s="396"/>
      <c r="AD262" s="360"/>
      <c r="AE262" s="360"/>
      <c r="AF262" s="360"/>
      <c r="AG262" s="360"/>
      <c r="AH262" s="360"/>
      <c r="AI262" s="360"/>
    </row>
    <row r="263" spans="1:35" hidden="1" x14ac:dyDescent="0.25">
      <c r="A263" s="390"/>
      <c r="B263" s="369"/>
      <c r="C263" s="369"/>
      <c r="D263" s="378" t="s">
        <v>844</v>
      </c>
      <c r="E263" s="382">
        <v>1.9929817830000001</v>
      </c>
      <c r="F263" s="383">
        <v>2.0328378420000002</v>
      </c>
      <c r="G263" s="384">
        <v>2.0641317899999998</v>
      </c>
      <c r="H263" s="421"/>
      <c r="I263" s="375"/>
      <c r="J263" s="375"/>
      <c r="K263" s="375"/>
      <c r="L263" s="375">
        <f>Table147[[#This Row],[Ambitious target 2030]]+Table147[[#This Row],[Ambitious target 2030]]*0.5</f>
        <v>0</v>
      </c>
      <c r="M263" s="375"/>
      <c r="N263" s="375"/>
      <c r="O263" s="375"/>
      <c r="P263" s="375"/>
      <c r="Q263" s="375">
        <f>Table147[[#This Row],[Red target]]-Table147[[#This Row],[Red target]]*0.5</f>
        <v>0</v>
      </c>
      <c r="R263" s="375"/>
      <c r="S263" s="375"/>
      <c r="T263" s="375"/>
      <c r="U263" s="375"/>
      <c r="V263" s="375"/>
      <c r="W263" s="375"/>
      <c r="X263" s="375"/>
      <c r="Y263" s="375"/>
      <c r="Z263" s="375"/>
      <c r="AA263" s="375"/>
      <c r="AB263" s="375"/>
      <c r="AC263" s="396"/>
      <c r="AD263" s="360"/>
      <c r="AE263" s="360"/>
      <c r="AF263" s="360"/>
      <c r="AG263" s="360"/>
      <c r="AH263" s="360"/>
      <c r="AI263" s="360"/>
    </row>
    <row r="264" spans="1:35" hidden="1" x14ac:dyDescent="0.25">
      <c r="A264" s="390"/>
      <c r="B264" s="369"/>
      <c r="C264" s="369"/>
      <c r="D264" s="378" t="s">
        <v>845</v>
      </c>
      <c r="E264" s="382">
        <v>2.1300609690000001</v>
      </c>
      <c r="F264" s="383">
        <v>2.1336234599999999</v>
      </c>
      <c r="G264" s="384">
        <v>2.1072221440000001</v>
      </c>
      <c r="H264" s="421"/>
      <c r="I264" s="375"/>
      <c r="J264" s="375"/>
      <c r="K264" s="375"/>
      <c r="L264" s="375">
        <f>Table147[[#This Row],[Ambitious target 2030]]+Table147[[#This Row],[Ambitious target 2030]]*0.5</f>
        <v>0</v>
      </c>
      <c r="M264" s="375"/>
      <c r="N264" s="375"/>
      <c r="O264" s="375"/>
      <c r="P264" s="375"/>
      <c r="Q264" s="375">
        <f>Table147[[#This Row],[Red target]]-Table147[[#This Row],[Red target]]*0.5</f>
        <v>0</v>
      </c>
      <c r="R264" s="375"/>
      <c r="S264" s="375"/>
      <c r="T264" s="375"/>
      <c r="U264" s="375"/>
      <c r="V264" s="375"/>
      <c r="W264" s="375"/>
      <c r="X264" s="375"/>
      <c r="Y264" s="375"/>
      <c r="Z264" s="375"/>
      <c r="AA264" s="375"/>
      <c r="AB264" s="375"/>
      <c r="AC264" s="396"/>
      <c r="AD264" s="360"/>
      <c r="AE264" s="360"/>
      <c r="AF264" s="360"/>
      <c r="AG264" s="360"/>
      <c r="AH264" s="360"/>
      <c r="AI264" s="360"/>
    </row>
    <row r="265" spans="1:35" hidden="1" x14ac:dyDescent="0.25">
      <c r="A265" s="390"/>
      <c r="B265" s="369"/>
      <c r="C265" s="369"/>
      <c r="D265" s="378" t="s">
        <v>700</v>
      </c>
      <c r="E265" s="382">
        <v>2.5192469700000002</v>
      </c>
      <c r="F265" s="383">
        <v>2.2604591460000001</v>
      </c>
      <c r="G265" s="384">
        <v>2.194576273</v>
      </c>
      <c r="H265" s="421"/>
      <c r="I265" s="375"/>
      <c r="J265" s="375"/>
      <c r="K265" s="375"/>
      <c r="L265" s="375">
        <f>Table147[[#This Row],[Ambitious target 2030]]+Table147[[#This Row],[Ambitious target 2030]]*0.5</f>
        <v>0</v>
      </c>
      <c r="M265" s="375"/>
      <c r="N265" s="375"/>
      <c r="O265" s="375"/>
      <c r="P265" s="375"/>
      <c r="Q265" s="375">
        <f>Table147[[#This Row],[Red target]]-Table147[[#This Row],[Red target]]*0.5</f>
        <v>0</v>
      </c>
      <c r="R265" s="375"/>
      <c r="S265" s="375"/>
      <c r="T265" s="375"/>
      <c r="U265" s="375"/>
      <c r="V265" s="375"/>
      <c r="W265" s="375"/>
      <c r="X265" s="375"/>
      <c r="Y265" s="375"/>
      <c r="Z265" s="375"/>
      <c r="AA265" s="375"/>
      <c r="AB265" s="375"/>
      <c r="AC265" s="396"/>
      <c r="AD265" s="360"/>
      <c r="AE265" s="360"/>
      <c r="AF265" s="360"/>
      <c r="AG265" s="360"/>
      <c r="AH265" s="360"/>
      <c r="AI265" s="360"/>
    </row>
    <row r="266" spans="1:35" s="386" customFormat="1" hidden="1" x14ac:dyDescent="0.25">
      <c r="A266" s="409"/>
      <c r="B266" s="406"/>
      <c r="C266" s="406"/>
      <c r="D266" s="406"/>
      <c r="E266" s="407">
        <v>2016</v>
      </c>
      <c r="F266" s="407">
        <v>2017</v>
      </c>
      <c r="G266" s="407">
        <v>2018</v>
      </c>
      <c r="H266" s="407"/>
      <c r="I266" s="407"/>
      <c r="J266" s="407"/>
      <c r="K266" s="407"/>
      <c r="L266" s="407">
        <f>Table147[[#This Row],[Ambitious target 2030]]+Table147[[#This Row],[Ambitious target 2030]]*0.5</f>
        <v>0</v>
      </c>
      <c r="M266" s="407"/>
      <c r="N266" s="407"/>
      <c r="O266" s="407"/>
      <c r="P266" s="407"/>
      <c r="Q266" s="407">
        <f>Table147[[#This Row],[Red target]]-Table147[[#This Row],[Red target]]*0.5</f>
        <v>0</v>
      </c>
      <c r="R266" s="407"/>
      <c r="S266" s="407"/>
      <c r="T266" s="407"/>
      <c r="U266" s="407"/>
      <c r="V266" s="407"/>
      <c r="W266" s="407"/>
      <c r="X266" s="407"/>
      <c r="Y266" s="407"/>
      <c r="Z266" s="407"/>
      <c r="AA266" s="407"/>
      <c r="AB266" s="407"/>
      <c r="AC266" s="413"/>
    </row>
    <row r="267" spans="1:35" x14ac:dyDescent="0.25">
      <c r="A267" s="418" t="s">
        <v>527</v>
      </c>
      <c r="B267" s="437" t="s">
        <v>1122</v>
      </c>
      <c r="C267" s="437" t="s">
        <v>582</v>
      </c>
      <c r="D267" s="436" t="s">
        <v>904</v>
      </c>
      <c r="E267" s="420">
        <v>10.2580066199183</v>
      </c>
      <c r="F267" s="420">
        <v>10.780813151679199</v>
      </c>
      <c r="G267" s="420">
        <v>11.317270582730499</v>
      </c>
      <c r="H267" s="421">
        <v>2016</v>
      </c>
      <c r="I267" s="421">
        <v>10.2580066199183</v>
      </c>
      <c r="J267" s="421">
        <v>2015</v>
      </c>
      <c r="K267" s="411">
        <v>8.3279399999999999</v>
      </c>
      <c r="L267" s="411">
        <f>Table147[[#This Row],[Ambitious target 2030]]+Table147[[#This Row],[Ambitious target 2030]]*0.5</f>
        <v>34.47</v>
      </c>
      <c r="M267" s="421">
        <v>22.98</v>
      </c>
      <c r="N267" s="421"/>
      <c r="O267" s="421">
        <f>(M267-K267)*0.5+K267</f>
        <v>15.653970000000001</v>
      </c>
      <c r="P267" s="421"/>
      <c r="Q267" s="421">
        <f>Table147[[#This Row],[Red target]]-Table147[[#This Row],[Red target]]*0.5</f>
        <v>4.1639699999999999</v>
      </c>
      <c r="R267" s="421"/>
      <c r="S267" s="421"/>
      <c r="T267" s="421"/>
      <c r="U267" s="421"/>
      <c r="V267" s="421"/>
      <c r="W267" s="421"/>
      <c r="X267" s="421"/>
      <c r="Y267" s="421"/>
      <c r="Z267" s="421">
        <f>K267</f>
        <v>8.3279399999999999</v>
      </c>
      <c r="AA267" s="421" t="s">
        <v>982</v>
      </c>
      <c r="AB267" s="421" t="s">
        <v>1135</v>
      </c>
      <c r="AC267" s="419" t="s">
        <v>698</v>
      </c>
      <c r="AD267" s="360"/>
      <c r="AE267" s="360"/>
      <c r="AF267" s="360"/>
      <c r="AG267" s="360"/>
      <c r="AH267" s="360"/>
      <c r="AI267" s="360"/>
    </row>
    <row r="268" spans="1:35" hidden="1" x14ac:dyDescent="0.25">
      <c r="A268" s="390"/>
      <c r="B268" s="369"/>
      <c r="C268" s="369"/>
      <c r="D268" s="369" t="s">
        <v>699</v>
      </c>
      <c r="E268" s="379">
        <v>104.278390971905</v>
      </c>
      <c r="F268" s="380">
        <v>107.361306947271</v>
      </c>
      <c r="G268" s="381">
        <v>116.59729563795399</v>
      </c>
      <c r="H268" s="421"/>
      <c r="I268" s="375"/>
      <c r="J268" s="375"/>
      <c r="K268" s="375"/>
      <c r="L268" s="375">
        <f>Table147[[#This Row],[Ambitious target 2030]]+Table147[[#This Row],[Ambitious target 2030]]*0.5</f>
        <v>0</v>
      </c>
      <c r="M268" s="375"/>
      <c r="N268" s="375"/>
      <c r="O268" s="375"/>
      <c r="P268" s="375"/>
      <c r="Q268" s="375">
        <f>Table147[[#This Row],[Red target]]-Table147[[#This Row],[Red target]]*0.5</f>
        <v>0</v>
      </c>
      <c r="R268" s="375"/>
      <c r="S268" s="375"/>
      <c r="T268" s="375"/>
      <c r="U268" s="375"/>
      <c r="V268" s="375"/>
      <c r="W268" s="375"/>
      <c r="X268" s="375"/>
      <c r="Y268" s="375"/>
      <c r="Z268" s="375"/>
      <c r="AA268" s="375"/>
      <c r="AB268" s="375"/>
      <c r="AC268" s="396"/>
      <c r="AD268" s="360"/>
      <c r="AE268" s="360"/>
      <c r="AF268" s="360"/>
      <c r="AG268" s="360"/>
      <c r="AH268" s="360"/>
      <c r="AI268" s="360"/>
    </row>
    <row r="269" spans="1:35" hidden="1" x14ac:dyDescent="0.25">
      <c r="A269" s="390"/>
      <c r="B269" s="369"/>
      <c r="C269" s="369"/>
      <c r="D269" s="369" t="s">
        <v>700</v>
      </c>
      <c r="E269" s="379">
        <v>80.172193303926605</v>
      </c>
      <c r="F269" s="380">
        <v>80.450045819741291</v>
      </c>
      <c r="G269" s="381">
        <v>82.828797372173</v>
      </c>
      <c r="H269" s="421"/>
      <c r="I269" s="375"/>
      <c r="J269" s="375"/>
      <c r="K269" s="375"/>
      <c r="L269" s="375">
        <f>Table147[[#This Row],[Ambitious target 2030]]+Table147[[#This Row],[Ambitious target 2030]]*0.5</f>
        <v>0</v>
      </c>
      <c r="M269" s="375"/>
      <c r="N269" s="375"/>
      <c r="O269" s="375"/>
      <c r="P269" s="375"/>
      <c r="Q269" s="375">
        <f>Table147[[#This Row],[Red target]]-Table147[[#This Row],[Red target]]*0.5</f>
        <v>0</v>
      </c>
      <c r="R269" s="375"/>
      <c r="S269" s="375"/>
      <c r="T269" s="375"/>
      <c r="U269" s="375"/>
      <c r="V269" s="375"/>
      <c r="W269" s="375"/>
      <c r="X269" s="375"/>
      <c r="Y269" s="375"/>
      <c r="Z269" s="375"/>
      <c r="AA269" s="375"/>
      <c r="AB269" s="375"/>
      <c r="AC269" s="396"/>
      <c r="AD269" s="360"/>
      <c r="AE269" s="360"/>
      <c r="AF269" s="360"/>
      <c r="AG269" s="360"/>
      <c r="AH269" s="360"/>
      <c r="AI269" s="360"/>
    </row>
    <row r="270" spans="1:35" hidden="1" x14ac:dyDescent="0.25">
      <c r="A270" s="390"/>
      <c r="B270" s="369"/>
      <c r="C270" s="369"/>
      <c r="D270" s="369" t="s">
        <v>701</v>
      </c>
      <c r="E270" s="379">
        <v>57.1630609918357</v>
      </c>
      <c r="F270" s="380">
        <v>61.264396477797895</v>
      </c>
      <c r="G270" s="381">
        <v>68.793784437261408</v>
      </c>
      <c r="H270" s="421"/>
      <c r="I270" s="375"/>
      <c r="J270" s="375"/>
      <c r="K270" s="375"/>
      <c r="L270" s="375">
        <f>Table147[[#This Row],[Ambitious target 2030]]+Table147[[#This Row],[Ambitious target 2030]]*0.5</f>
        <v>0</v>
      </c>
      <c r="M270" s="375"/>
      <c r="N270" s="375"/>
      <c r="O270" s="375"/>
      <c r="P270" s="375"/>
      <c r="Q270" s="375">
        <f>Table147[[#This Row],[Red target]]-Table147[[#This Row],[Red target]]*0.5</f>
        <v>0</v>
      </c>
      <c r="R270" s="375"/>
      <c r="S270" s="375"/>
      <c r="T270" s="375"/>
      <c r="U270" s="375"/>
      <c r="V270" s="375"/>
      <c r="W270" s="375"/>
      <c r="X270" s="375"/>
      <c r="Y270" s="375"/>
      <c r="Z270" s="375"/>
      <c r="AA270" s="375"/>
      <c r="AB270" s="375"/>
      <c r="AC270" s="396"/>
      <c r="AD270" s="360"/>
      <c r="AE270" s="360"/>
      <c r="AF270" s="360"/>
      <c r="AG270" s="360"/>
      <c r="AH270" s="360"/>
      <c r="AI270" s="360"/>
    </row>
    <row r="271" spans="1:35" hidden="1" x14ac:dyDescent="0.25">
      <c r="A271" s="390"/>
      <c r="B271" s="369"/>
      <c r="C271" s="369"/>
      <c r="D271" s="369" t="s">
        <v>702</v>
      </c>
      <c r="E271" s="379">
        <v>56.724170385886296</v>
      </c>
      <c r="F271" s="380">
        <v>60.2977937806208</v>
      </c>
      <c r="G271" s="381">
        <v>64.581944018395404</v>
      </c>
      <c r="H271" s="421"/>
      <c r="I271" s="375"/>
      <c r="J271" s="375"/>
      <c r="K271" s="375"/>
      <c r="L271" s="375">
        <f>Table147[[#This Row],[Ambitious target 2030]]+Table147[[#This Row],[Ambitious target 2030]]*0.5</f>
        <v>0</v>
      </c>
      <c r="M271" s="375"/>
      <c r="N271" s="375"/>
      <c r="O271" s="375"/>
      <c r="P271" s="375"/>
      <c r="Q271" s="375">
        <f>Table147[[#This Row],[Red target]]-Table147[[#This Row],[Red target]]*0.5</f>
        <v>0</v>
      </c>
      <c r="R271" s="375"/>
      <c r="S271" s="375"/>
      <c r="T271" s="375"/>
      <c r="U271" s="375"/>
      <c r="V271" s="375"/>
      <c r="W271" s="375"/>
      <c r="X271" s="375"/>
      <c r="Y271" s="375"/>
      <c r="Z271" s="375"/>
      <c r="AA271" s="375"/>
      <c r="AB271" s="375"/>
      <c r="AC271" s="396"/>
      <c r="AD271" s="360"/>
      <c r="AE271" s="360"/>
      <c r="AF271" s="360"/>
      <c r="AG271" s="360"/>
      <c r="AH271" s="360"/>
      <c r="AI271" s="360"/>
    </row>
    <row r="272" spans="1:35" hidden="1" x14ac:dyDescent="0.25">
      <c r="A272" s="390"/>
      <c r="B272" s="369"/>
      <c r="C272" s="369"/>
      <c r="D272" s="369" t="s">
        <v>703</v>
      </c>
      <c r="E272" s="379">
        <v>57.927516851506205</v>
      </c>
      <c r="F272" s="380">
        <v>59.957725851303202</v>
      </c>
      <c r="G272" s="381">
        <v>62.8868364845599</v>
      </c>
      <c r="H272" s="421"/>
      <c r="I272" s="375"/>
      <c r="J272" s="375"/>
      <c r="K272" s="375"/>
      <c r="L272" s="375">
        <f>Table147[[#This Row],[Ambitious target 2030]]+Table147[[#This Row],[Ambitious target 2030]]*0.5</f>
        <v>0</v>
      </c>
      <c r="M272" s="375"/>
      <c r="N272" s="375"/>
      <c r="O272" s="375"/>
      <c r="P272" s="375"/>
      <c r="Q272" s="375">
        <f>Table147[[#This Row],[Red target]]-Table147[[#This Row],[Red target]]*0.5</f>
        <v>0</v>
      </c>
      <c r="R272" s="375"/>
      <c r="S272" s="375"/>
      <c r="T272" s="375"/>
      <c r="U272" s="375"/>
      <c r="V272" s="375"/>
      <c r="W272" s="375"/>
      <c r="X272" s="375"/>
      <c r="Y272" s="375"/>
      <c r="Z272" s="375"/>
      <c r="AA272" s="375"/>
      <c r="AB272" s="375"/>
      <c r="AC272" s="396"/>
      <c r="AD272" s="360"/>
      <c r="AE272" s="360"/>
      <c r="AF272" s="360"/>
      <c r="AG272" s="360"/>
      <c r="AH272" s="360"/>
      <c r="AI272" s="360"/>
    </row>
    <row r="273" spans="1:35" hidden="1" x14ac:dyDescent="0.25">
      <c r="A273" s="390"/>
      <c r="B273" s="369"/>
      <c r="C273" s="369"/>
      <c r="D273" s="369" t="s">
        <v>683</v>
      </c>
      <c r="E273" s="382">
        <v>0.29596785164512701</v>
      </c>
      <c r="F273" s="383">
        <v>0.30905535477005602</v>
      </c>
      <c r="G273" s="384">
        <v>0.31454416567076299</v>
      </c>
      <c r="H273" s="421"/>
      <c r="I273" s="375"/>
      <c r="J273" s="375"/>
      <c r="K273" s="375"/>
      <c r="L273" s="375">
        <f>Table147[[#This Row],[Ambitious target 2030]]+Table147[[#This Row],[Ambitious target 2030]]*0.5</f>
        <v>0</v>
      </c>
      <c r="M273" s="375"/>
      <c r="N273" s="375"/>
      <c r="O273" s="375"/>
      <c r="P273" s="375"/>
      <c r="Q273" s="375">
        <f>Table147[[#This Row],[Red target]]-Table147[[#This Row],[Red target]]*0.5</f>
        <v>0</v>
      </c>
      <c r="R273" s="375"/>
      <c r="S273" s="375"/>
      <c r="T273" s="375"/>
      <c r="U273" s="375"/>
      <c r="V273" s="375"/>
      <c r="W273" s="375"/>
      <c r="X273" s="375"/>
      <c r="Y273" s="375"/>
      <c r="Z273" s="375"/>
      <c r="AA273" s="375"/>
      <c r="AB273" s="375"/>
      <c r="AC273" s="396"/>
      <c r="AD273" s="360"/>
      <c r="AE273" s="360"/>
      <c r="AF273" s="360"/>
      <c r="AG273" s="360"/>
      <c r="AH273" s="360"/>
      <c r="AI273" s="360"/>
    </row>
    <row r="274" spans="1:35" hidden="1" x14ac:dyDescent="0.25">
      <c r="A274" s="390"/>
      <c r="B274" s="369"/>
      <c r="C274" s="369"/>
      <c r="D274" s="369" t="s">
        <v>676</v>
      </c>
      <c r="E274" s="382">
        <v>0.36213113227433397</v>
      </c>
      <c r="F274" s="383">
        <v>0.37586948967352202</v>
      </c>
      <c r="G274" s="384">
        <v>0.41398030496208899</v>
      </c>
      <c r="H274" s="421"/>
      <c r="I274" s="375"/>
      <c r="J274" s="375"/>
      <c r="K274" s="375"/>
      <c r="L274" s="375">
        <f>Table147[[#This Row],[Ambitious target 2030]]+Table147[[#This Row],[Ambitious target 2030]]*0.5</f>
        <v>0</v>
      </c>
      <c r="M274" s="375"/>
      <c r="N274" s="375"/>
      <c r="O274" s="375"/>
      <c r="P274" s="375"/>
      <c r="Q274" s="375">
        <f>Table147[[#This Row],[Red target]]-Table147[[#This Row],[Red target]]*0.5</f>
        <v>0</v>
      </c>
      <c r="R274" s="375"/>
      <c r="S274" s="375"/>
      <c r="T274" s="375"/>
      <c r="U274" s="375"/>
      <c r="V274" s="375"/>
      <c r="W274" s="375"/>
      <c r="X274" s="375"/>
      <c r="Y274" s="375"/>
      <c r="Z274" s="375"/>
      <c r="AA274" s="375"/>
      <c r="AB274" s="375"/>
      <c r="AC274" s="396"/>
      <c r="AD274" s="360"/>
      <c r="AE274" s="360"/>
      <c r="AF274" s="360"/>
      <c r="AG274" s="360"/>
      <c r="AH274" s="360"/>
      <c r="AI274" s="360"/>
    </row>
    <row r="275" spans="1:35" hidden="1" x14ac:dyDescent="0.25">
      <c r="A275" s="390"/>
      <c r="B275" s="369"/>
      <c r="C275" s="369"/>
      <c r="D275" s="369" t="s">
        <v>704</v>
      </c>
      <c r="E275" s="382">
        <v>0.54722811015036299</v>
      </c>
      <c r="F275" s="383">
        <v>0.55630213850850807</v>
      </c>
      <c r="G275" s="384">
        <v>0.52089660271913496</v>
      </c>
      <c r="H275" s="421"/>
      <c r="I275" s="375"/>
      <c r="J275" s="375"/>
      <c r="K275" s="375"/>
      <c r="L275" s="375">
        <f>Table147[[#This Row],[Ambitious target 2030]]+Table147[[#This Row],[Ambitious target 2030]]*0.5</f>
        <v>0</v>
      </c>
      <c r="M275" s="375"/>
      <c r="N275" s="375"/>
      <c r="O275" s="375"/>
      <c r="P275" s="375"/>
      <c r="Q275" s="375">
        <f>Table147[[#This Row],[Red target]]-Table147[[#This Row],[Red target]]*0.5</f>
        <v>0</v>
      </c>
      <c r="R275" s="375"/>
      <c r="S275" s="375"/>
      <c r="T275" s="375"/>
      <c r="U275" s="375"/>
      <c r="V275" s="375"/>
      <c r="W275" s="375"/>
      <c r="X275" s="375"/>
      <c r="Y275" s="375"/>
      <c r="Z275" s="375"/>
      <c r="AA275" s="375"/>
      <c r="AB275" s="375"/>
      <c r="AC275" s="396"/>
      <c r="AD275" s="360"/>
      <c r="AE275" s="360"/>
      <c r="AF275" s="360"/>
      <c r="AG275" s="360"/>
      <c r="AH275" s="360"/>
      <c r="AI275" s="360"/>
    </row>
    <row r="276" spans="1:35" hidden="1" x14ac:dyDescent="0.25">
      <c r="A276" s="390"/>
      <c r="B276" s="369"/>
      <c r="C276" s="369"/>
      <c r="D276" s="369" t="s">
        <v>705</v>
      </c>
      <c r="E276" s="382">
        <v>0.50141571285783193</v>
      </c>
      <c r="F276" s="383">
        <v>0.49938070781976002</v>
      </c>
      <c r="G276" s="384">
        <v>0.53399118425893599</v>
      </c>
      <c r="H276" s="421"/>
      <c r="I276" s="375"/>
      <c r="J276" s="375"/>
      <c r="K276" s="375"/>
      <c r="L276" s="375">
        <f>Table147[[#This Row],[Ambitious target 2030]]+Table147[[#This Row],[Ambitious target 2030]]*0.5</f>
        <v>0</v>
      </c>
      <c r="M276" s="375"/>
      <c r="N276" s="375"/>
      <c r="O276" s="375"/>
      <c r="P276" s="375"/>
      <c r="Q276" s="375">
        <f>Table147[[#This Row],[Red target]]-Table147[[#This Row],[Red target]]*0.5</f>
        <v>0</v>
      </c>
      <c r="R276" s="375"/>
      <c r="S276" s="375"/>
      <c r="T276" s="375"/>
      <c r="U276" s="375"/>
      <c r="V276" s="375"/>
      <c r="W276" s="375"/>
      <c r="X276" s="375"/>
      <c r="Y276" s="375"/>
      <c r="Z276" s="375"/>
      <c r="AA276" s="375"/>
      <c r="AB276" s="375"/>
      <c r="AC276" s="396"/>
      <c r="AD276" s="360"/>
      <c r="AE276" s="360"/>
      <c r="AF276" s="360"/>
      <c r="AG276" s="360"/>
      <c r="AH276" s="360"/>
      <c r="AI276" s="360"/>
    </row>
    <row r="277" spans="1:35" hidden="1" x14ac:dyDescent="0.25">
      <c r="A277" s="390"/>
      <c r="B277" s="369"/>
      <c r="C277" s="369"/>
      <c r="D277" s="369" t="s">
        <v>706</v>
      </c>
      <c r="E277" s="382">
        <v>0.47131884040957195</v>
      </c>
      <c r="F277" s="383">
        <v>0.46707423746489002</v>
      </c>
      <c r="G277" s="384">
        <v>0.56177718239042496</v>
      </c>
      <c r="H277" s="421"/>
      <c r="I277" s="375"/>
      <c r="J277" s="375"/>
      <c r="K277" s="375"/>
      <c r="L277" s="375">
        <f>Table147[[#This Row],[Ambitious target 2030]]+Table147[[#This Row],[Ambitious target 2030]]*0.5</f>
        <v>0</v>
      </c>
      <c r="M277" s="375"/>
      <c r="N277" s="375"/>
      <c r="O277" s="375"/>
      <c r="P277" s="375"/>
      <c r="Q277" s="375">
        <f>Table147[[#This Row],[Red target]]-Table147[[#This Row],[Red target]]*0.5</f>
        <v>0</v>
      </c>
      <c r="R277" s="375"/>
      <c r="S277" s="375"/>
      <c r="T277" s="375"/>
      <c r="U277" s="375"/>
      <c r="V277" s="375"/>
      <c r="W277" s="375"/>
      <c r="X277" s="375"/>
      <c r="Y277" s="375"/>
      <c r="Z277" s="375"/>
      <c r="AA277" s="375"/>
      <c r="AB277" s="375"/>
      <c r="AC277" s="396"/>
      <c r="AD277" s="360"/>
      <c r="AE277" s="360"/>
      <c r="AF277" s="360"/>
      <c r="AG277" s="360"/>
      <c r="AH277" s="360"/>
      <c r="AI277" s="360"/>
    </row>
    <row r="278" spans="1:35" s="386" customFormat="1" hidden="1" x14ac:dyDescent="0.25">
      <c r="A278" s="409"/>
      <c r="B278" s="406"/>
      <c r="C278" s="407"/>
      <c r="D278" s="406"/>
      <c r="E278" s="407">
        <v>2012</v>
      </c>
      <c r="F278" s="407">
        <v>2013</v>
      </c>
      <c r="G278" s="407">
        <v>2014</v>
      </c>
      <c r="H278" s="407"/>
      <c r="I278" s="407"/>
      <c r="J278" s="407"/>
      <c r="K278" s="407"/>
      <c r="L278" s="407">
        <f>Table147[[#This Row],[Ambitious target 2030]]+Table147[[#This Row],[Ambitious target 2030]]*0.5</f>
        <v>0</v>
      </c>
      <c r="M278" s="407"/>
      <c r="N278" s="407"/>
      <c r="O278" s="407"/>
      <c r="P278" s="407"/>
      <c r="Q278" s="407">
        <f>Table147[[#This Row],[Red target]]-Table147[[#This Row],[Red target]]*0.5</f>
        <v>0</v>
      </c>
      <c r="R278" s="407"/>
      <c r="S278" s="407"/>
      <c r="T278" s="407"/>
      <c r="U278" s="407"/>
      <c r="V278" s="407"/>
      <c r="W278" s="407"/>
      <c r="X278" s="407"/>
      <c r="Y278" s="407"/>
      <c r="Z278" s="407"/>
      <c r="AA278" s="407"/>
      <c r="AB278" s="407"/>
      <c r="AC278" s="413"/>
    </row>
    <row r="279" spans="1:35" hidden="1" x14ac:dyDescent="0.25">
      <c r="A279" s="418" t="s">
        <v>760</v>
      </c>
      <c r="B279" s="437" t="s">
        <v>758</v>
      </c>
      <c r="C279" s="437" t="s">
        <v>759</v>
      </c>
      <c r="D279" s="436" t="s">
        <v>904</v>
      </c>
      <c r="E279" s="420">
        <v>0.507411642337258</v>
      </c>
      <c r="F279" s="420">
        <v>0.49935966335005399</v>
      </c>
      <c r="G279" s="420">
        <v>0.48960813019935201</v>
      </c>
      <c r="H279" s="421">
        <v>2014</v>
      </c>
      <c r="I279" s="421">
        <v>0.48960813019935201</v>
      </c>
      <c r="J279" s="421">
        <v>2015</v>
      </c>
      <c r="K279" s="411">
        <v>0.53940900000000003</v>
      </c>
      <c r="L279" s="411">
        <f>Table147[[#This Row],[Ambitious target 2030]]-Table147[[#This Row],[Ambitious target 2030]]*0.5</f>
        <v>0.122402032549838</v>
      </c>
      <c r="M279" s="421">
        <f>Table147[[#This Row],[Data reference value]]+Table147[[#This Row],[Data reference value]]*Table147[[#This Row],[Ambitious target improvement rate 2030]]</f>
        <v>0.244804065099676</v>
      </c>
      <c r="N279" s="421">
        <v>-0.5</v>
      </c>
      <c r="O279" s="421">
        <f>(Table147[[#This Row],[Ambitious target 2030]]-Table147[[#This Row],[Model reference value]])*0.5+Table147[[#This Row],[Model reference value]]</f>
        <v>0.39210653254983802</v>
      </c>
      <c r="P279" s="421"/>
      <c r="Q279" s="421">
        <f>Table147[[#This Row],[Red target]]+Table147[[#This Row],[Red target]]*0.5</f>
        <v>0.80911350000000004</v>
      </c>
      <c r="R279" s="421"/>
      <c r="S279" s="421"/>
      <c r="T279" s="421"/>
      <c r="U279" s="421"/>
      <c r="V279" s="421"/>
      <c r="W279" s="421"/>
      <c r="X279" s="421"/>
      <c r="Y279" s="421"/>
      <c r="Z279" s="421">
        <f>Table147[[#This Row],[Model reference value]]</f>
        <v>0.53940900000000003</v>
      </c>
      <c r="AA279" s="421" t="s">
        <v>1140</v>
      </c>
      <c r="AB279" s="421" t="s">
        <v>1040</v>
      </c>
      <c r="AC279" s="419" t="s">
        <v>762</v>
      </c>
      <c r="AD279" s="371" t="s">
        <v>1094</v>
      </c>
      <c r="AE279" s="360"/>
      <c r="AF279" s="360"/>
      <c r="AG279" s="360"/>
      <c r="AH279" s="360"/>
      <c r="AI279" s="360"/>
    </row>
    <row r="280" spans="1:35" hidden="1" x14ac:dyDescent="0.25">
      <c r="A280" s="390"/>
      <c r="B280" s="369"/>
      <c r="C280" s="369"/>
      <c r="D280" s="369"/>
      <c r="E280" s="379"/>
      <c r="F280" s="380"/>
      <c r="G280" s="381"/>
      <c r="H280" s="421"/>
      <c r="I280" s="375"/>
      <c r="J280" s="375"/>
      <c r="K280" s="375"/>
      <c r="L280" s="375">
        <f>Table147[[#This Row],[Ambitious target 2030]]+Table147[[#This Row],[Ambitious target 2030]]*0.5</f>
        <v>0</v>
      </c>
      <c r="M280" s="375"/>
      <c r="N280" s="375"/>
      <c r="O280" s="375"/>
      <c r="P280" s="375"/>
      <c r="Q280" s="375">
        <f>Table147[[#This Row],[Red target]]-Table147[[#This Row],[Red target]]*0.5</f>
        <v>0</v>
      </c>
      <c r="R280" s="375"/>
      <c r="S280" s="375"/>
      <c r="T280" s="375"/>
      <c r="U280" s="375"/>
      <c r="V280" s="375"/>
      <c r="W280" s="375"/>
      <c r="X280" s="375"/>
      <c r="Y280" s="375"/>
      <c r="Z280" s="375"/>
      <c r="AA280" s="375"/>
      <c r="AB280" s="375"/>
      <c r="AC280" s="396"/>
      <c r="AD280" s="360"/>
      <c r="AE280" s="360"/>
      <c r="AF280" s="360"/>
      <c r="AG280" s="360"/>
      <c r="AH280" s="360"/>
      <c r="AI280" s="360"/>
    </row>
    <row r="281" spans="1:35" hidden="1" x14ac:dyDescent="0.25">
      <c r="A281" s="390"/>
      <c r="B281" s="369"/>
      <c r="C281" s="369"/>
      <c r="D281" s="369"/>
      <c r="E281" s="379"/>
      <c r="F281" s="380"/>
      <c r="G281" s="381"/>
      <c r="H281" s="421"/>
      <c r="I281" s="375"/>
      <c r="J281" s="375"/>
      <c r="K281" s="375"/>
      <c r="L281" s="375">
        <f>Table147[[#This Row],[Ambitious target 2030]]+Table147[[#This Row],[Ambitious target 2030]]*0.5</f>
        <v>0</v>
      </c>
      <c r="M281" s="375"/>
      <c r="N281" s="375"/>
      <c r="O281" s="375"/>
      <c r="P281" s="375"/>
      <c r="Q281" s="375">
        <f>Table147[[#This Row],[Red target]]-Table147[[#This Row],[Red target]]*0.5</f>
        <v>0</v>
      </c>
      <c r="R281" s="375"/>
      <c r="S281" s="375"/>
      <c r="T281" s="375"/>
      <c r="U281" s="375"/>
      <c r="V281" s="375"/>
      <c r="W281" s="375"/>
      <c r="X281" s="375"/>
      <c r="Y281" s="375"/>
      <c r="Z281" s="375"/>
      <c r="AA281" s="375"/>
      <c r="AB281" s="375"/>
      <c r="AC281" s="396"/>
      <c r="AD281" s="360"/>
      <c r="AE281" s="360"/>
      <c r="AF281" s="360"/>
      <c r="AG281" s="360"/>
      <c r="AH281" s="360"/>
      <c r="AI281" s="360"/>
    </row>
    <row r="282" spans="1:35" hidden="1" x14ac:dyDescent="0.25">
      <c r="A282" s="390"/>
      <c r="B282" s="369"/>
      <c r="C282" s="369"/>
      <c r="D282" s="369"/>
      <c r="E282" s="379"/>
      <c r="F282" s="380"/>
      <c r="G282" s="381"/>
      <c r="H282" s="421"/>
      <c r="I282" s="375"/>
      <c r="J282" s="375"/>
      <c r="K282" s="375"/>
      <c r="L282" s="375">
        <f>Table147[[#This Row],[Ambitious target 2030]]+Table147[[#This Row],[Ambitious target 2030]]*0.5</f>
        <v>0</v>
      </c>
      <c r="M282" s="375"/>
      <c r="N282" s="375"/>
      <c r="O282" s="375"/>
      <c r="P282" s="375"/>
      <c r="Q282" s="375">
        <f>Table147[[#This Row],[Red target]]-Table147[[#This Row],[Red target]]*0.5</f>
        <v>0</v>
      </c>
      <c r="R282" s="375"/>
      <c r="S282" s="375"/>
      <c r="T282" s="375"/>
      <c r="U282" s="375"/>
      <c r="V282" s="375"/>
      <c r="W282" s="375"/>
      <c r="X282" s="375"/>
      <c r="Y282" s="375"/>
      <c r="Z282" s="375"/>
      <c r="AA282" s="375"/>
      <c r="AB282" s="375"/>
      <c r="AC282" s="396"/>
      <c r="AD282" s="360"/>
      <c r="AE282" s="360"/>
      <c r="AF282" s="360"/>
      <c r="AG282" s="360"/>
      <c r="AH282" s="360"/>
      <c r="AI282" s="360"/>
    </row>
    <row r="283" spans="1:35" hidden="1" x14ac:dyDescent="0.25">
      <c r="A283" s="390"/>
      <c r="B283" s="369"/>
      <c r="C283" s="369"/>
      <c r="D283" s="369"/>
      <c r="E283" s="379"/>
      <c r="F283" s="380"/>
      <c r="G283" s="381"/>
      <c r="H283" s="421"/>
      <c r="I283" s="375"/>
      <c r="J283" s="375"/>
      <c r="K283" s="375"/>
      <c r="L283" s="375">
        <f>Table147[[#This Row],[Ambitious target 2030]]+Table147[[#This Row],[Ambitious target 2030]]*0.5</f>
        <v>0</v>
      </c>
      <c r="M283" s="375"/>
      <c r="N283" s="375"/>
      <c r="O283" s="375"/>
      <c r="P283" s="375"/>
      <c r="Q283" s="375">
        <f>Table147[[#This Row],[Red target]]-Table147[[#This Row],[Red target]]*0.5</f>
        <v>0</v>
      </c>
      <c r="R283" s="375"/>
      <c r="S283" s="375"/>
      <c r="T283" s="375"/>
      <c r="U283" s="375"/>
      <c r="V283" s="375"/>
      <c r="W283" s="375"/>
      <c r="X283" s="375"/>
      <c r="Y283" s="375"/>
      <c r="Z283" s="375"/>
      <c r="AA283" s="375"/>
      <c r="AB283" s="375"/>
      <c r="AC283" s="396"/>
      <c r="AD283" s="360"/>
      <c r="AE283" s="360"/>
      <c r="AF283" s="360"/>
      <c r="AG283" s="360"/>
      <c r="AH283" s="360"/>
      <c r="AI283" s="360"/>
    </row>
    <row r="284" spans="1:35" hidden="1" x14ac:dyDescent="0.25">
      <c r="A284" s="390"/>
      <c r="B284" s="369"/>
      <c r="C284" s="369"/>
      <c r="D284" s="369"/>
      <c r="E284" s="379"/>
      <c r="F284" s="380"/>
      <c r="G284" s="381"/>
      <c r="H284" s="421"/>
      <c r="I284" s="375"/>
      <c r="J284" s="375"/>
      <c r="K284" s="375"/>
      <c r="L284" s="375">
        <f>Table147[[#This Row],[Ambitious target 2030]]+Table147[[#This Row],[Ambitious target 2030]]*0.5</f>
        <v>0</v>
      </c>
      <c r="M284" s="375"/>
      <c r="N284" s="375"/>
      <c r="O284" s="375"/>
      <c r="P284" s="375"/>
      <c r="Q284" s="375">
        <f>Table147[[#This Row],[Red target]]-Table147[[#This Row],[Red target]]*0.5</f>
        <v>0</v>
      </c>
      <c r="R284" s="375"/>
      <c r="S284" s="375"/>
      <c r="T284" s="375"/>
      <c r="U284" s="375"/>
      <c r="V284" s="375"/>
      <c r="W284" s="375"/>
      <c r="X284" s="375"/>
      <c r="Y284" s="375"/>
      <c r="Z284" s="375"/>
      <c r="AA284" s="375"/>
      <c r="AB284" s="375"/>
      <c r="AC284" s="396"/>
      <c r="AD284" s="360"/>
      <c r="AE284" s="360"/>
      <c r="AF284" s="360"/>
      <c r="AG284" s="360"/>
      <c r="AH284" s="360"/>
      <c r="AI284" s="360"/>
    </row>
    <row r="285" spans="1:35" hidden="1" x14ac:dyDescent="0.25">
      <c r="A285" s="390"/>
      <c r="B285" s="369"/>
      <c r="C285" s="369"/>
      <c r="D285" s="369"/>
      <c r="E285" s="382"/>
      <c r="F285" s="383"/>
      <c r="G285" s="384"/>
      <c r="H285" s="421"/>
      <c r="I285" s="375"/>
      <c r="J285" s="375"/>
      <c r="K285" s="375"/>
      <c r="L285" s="375">
        <f>Table147[[#This Row],[Ambitious target 2030]]+Table147[[#This Row],[Ambitious target 2030]]*0.5</f>
        <v>0</v>
      </c>
      <c r="M285" s="375"/>
      <c r="N285" s="375"/>
      <c r="O285" s="375"/>
      <c r="P285" s="375"/>
      <c r="Q285" s="375">
        <f>Table147[[#This Row],[Red target]]-Table147[[#This Row],[Red target]]*0.5</f>
        <v>0</v>
      </c>
      <c r="R285" s="375"/>
      <c r="S285" s="375"/>
      <c r="T285" s="375"/>
      <c r="U285" s="375"/>
      <c r="V285" s="375"/>
      <c r="W285" s="375"/>
      <c r="X285" s="375"/>
      <c r="Y285" s="375"/>
      <c r="Z285" s="375"/>
      <c r="AA285" s="375"/>
      <c r="AB285" s="375"/>
      <c r="AC285" s="396"/>
      <c r="AD285" s="360"/>
      <c r="AE285" s="360"/>
      <c r="AF285" s="360"/>
      <c r="AG285" s="360"/>
      <c r="AH285" s="360"/>
      <c r="AI285" s="360"/>
    </row>
    <row r="286" spans="1:35" hidden="1" x14ac:dyDescent="0.25">
      <c r="A286" s="390"/>
      <c r="B286" s="369"/>
      <c r="C286" s="369"/>
      <c r="D286" s="369"/>
      <c r="E286" s="382"/>
      <c r="F286" s="383"/>
      <c r="G286" s="384"/>
      <c r="H286" s="421"/>
      <c r="I286" s="375"/>
      <c r="J286" s="375"/>
      <c r="K286" s="375"/>
      <c r="L286" s="375">
        <f>Table147[[#This Row],[Ambitious target 2030]]+Table147[[#This Row],[Ambitious target 2030]]*0.5</f>
        <v>0</v>
      </c>
      <c r="M286" s="375"/>
      <c r="N286" s="375"/>
      <c r="O286" s="375"/>
      <c r="P286" s="375"/>
      <c r="Q286" s="375">
        <f>Table147[[#This Row],[Red target]]-Table147[[#This Row],[Red target]]*0.5</f>
        <v>0</v>
      </c>
      <c r="R286" s="375"/>
      <c r="S286" s="375"/>
      <c r="T286" s="375"/>
      <c r="U286" s="375"/>
      <c r="V286" s="375"/>
      <c r="W286" s="375"/>
      <c r="X286" s="375"/>
      <c r="Y286" s="375"/>
      <c r="Z286" s="375"/>
      <c r="AA286" s="375"/>
      <c r="AB286" s="375"/>
      <c r="AC286" s="396"/>
      <c r="AD286" s="360"/>
      <c r="AE286" s="360"/>
      <c r="AF286" s="360"/>
      <c r="AG286" s="360"/>
      <c r="AH286" s="360"/>
      <c r="AI286" s="360"/>
    </row>
    <row r="287" spans="1:35" hidden="1" x14ac:dyDescent="0.25">
      <c r="A287" s="390"/>
      <c r="B287" s="369"/>
      <c r="C287" s="369"/>
      <c r="D287" s="369"/>
      <c r="E287" s="382"/>
      <c r="F287" s="383"/>
      <c r="G287" s="384"/>
      <c r="H287" s="421"/>
      <c r="I287" s="375"/>
      <c r="J287" s="375"/>
      <c r="K287" s="375"/>
      <c r="L287" s="375">
        <f>Table147[[#This Row],[Ambitious target 2030]]+Table147[[#This Row],[Ambitious target 2030]]*0.5</f>
        <v>0</v>
      </c>
      <c r="M287" s="375"/>
      <c r="N287" s="375"/>
      <c r="O287" s="375"/>
      <c r="P287" s="375"/>
      <c r="Q287" s="375">
        <f>Table147[[#This Row],[Red target]]-Table147[[#This Row],[Red target]]*0.5</f>
        <v>0</v>
      </c>
      <c r="R287" s="375"/>
      <c r="S287" s="375"/>
      <c r="T287" s="375"/>
      <c r="U287" s="375"/>
      <c r="V287" s="375"/>
      <c r="W287" s="375"/>
      <c r="X287" s="375"/>
      <c r="Y287" s="375"/>
      <c r="Z287" s="375"/>
      <c r="AA287" s="375"/>
      <c r="AB287" s="375"/>
      <c r="AC287" s="396"/>
      <c r="AD287" s="360"/>
      <c r="AE287" s="360"/>
      <c r="AF287" s="360"/>
      <c r="AG287" s="360"/>
      <c r="AH287" s="360"/>
      <c r="AI287" s="360"/>
    </row>
    <row r="288" spans="1:35" hidden="1" x14ac:dyDescent="0.25">
      <c r="A288" s="390"/>
      <c r="B288" s="369"/>
      <c r="C288" s="369"/>
      <c r="D288" s="369"/>
      <c r="E288" s="382"/>
      <c r="F288" s="383"/>
      <c r="G288" s="384"/>
      <c r="H288" s="421"/>
      <c r="I288" s="375"/>
      <c r="J288" s="375"/>
      <c r="K288" s="375"/>
      <c r="L288" s="375">
        <f>Table147[[#This Row],[Ambitious target 2030]]+Table147[[#This Row],[Ambitious target 2030]]*0.5</f>
        <v>0</v>
      </c>
      <c r="M288" s="375"/>
      <c r="N288" s="375"/>
      <c r="O288" s="375"/>
      <c r="P288" s="375"/>
      <c r="Q288" s="375">
        <f>Table147[[#This Row],[Red target]]-Table147[[#This Row],[Red target]]*0.5</f>
        <v>0</v>
      </c>
      <c r="R288" s="375"/>
      <c r="S288" s="375"/>
      <c r="T288" s="375"/>
      <c r="U288" s="375"/>
      <c r="V288" s="375"/>
      <c r="W288" s="375"/>
      <c r="X288" s="375"/>
      <c r="Y288" s="375"/>
      <c r="Z288" s="375"/>
      <c r="AA288" s="375"/>
      <c r="AB288" s="375"/>
      <c r="AC288" s="396"/>
      <c r="AD288" s="360"/>
      <c r="AE288" s="360"/>
      <c r="AF288" s="360"/>
      <c r="AG288" s="360"/>
      <c r="AH288" s="360"/>
      <c r="AI288" s="360"/>
    </row>
    <row r="289" spans="1:35" hidden="1" x14ac:dyDescent="0.25">
      <c r="A289" s="390"/>
      <c r="B289" s="369"/>
      <c r="C289" s="369"/>
      <c r="D289" s="369"/>
      <c r="E289" s="382"/>
      <c r="F289" s="383"/>
      <c r="G289" s="384"/>
      <c r="H289" s="421"/>
      <c r="I289" s="375"/>
      <c r="J289" s="375"/>
      <c r="K289" s="375"/>
      <c r="L289" s="375">
        <f>Table147[[#This Row],[Ambitious target 2030]]+Table147[[#This Row],[Ambitious target 2030]]*0.5</f>
        <v>0</v>
      </c>
      <c r="M289" s="375"/>
      <c r="N289" s="375"/>
      <c r="O289" s="375"/>
      <c r="P289" s="375"/>
      <c r="Q289" s="375">
        <f>Table147[[#This Row],[Red target]]-Table147[[#This Row],[Red target]]*0.5</f>
        <v>0</v>
      </c>
      <c r="R289" s="375"/>
      <c r="S289" s="375"/>
      <c r="T289" s="375"/>
      <c r="U289" s="375"/>
      <c r="V289" s="375"/>
      <c r="W289" s="375"/>
      <c r="X289" s="375"/>
      <c r="Y289" s="375"/>
      <c r="Z289" s="375"/>
      <c r="AA289" s="375"/>
      <c r="AB289" s="375"/>
      <c r="AC289" s="396"/>
      <c r="AD289" s="360"/>
      <c r="AE289" s="360"/>
      <c r="AF289" s="360"/>
      <c r="AG289" s="360"/>
      <c r="AH289" s="360"/>
      <c r="AI289" s="360"/>
    </row>
    <row r="290" spans="1:35" s="386" customFormat="1" hidden="1" x14ac:dyDescent="0.25">
      <c r="A290" s="409"/>
      <c r="B290" s="406"/>
      <c r="C290" s="406"/>
      <c r="D290" s="406"/>
      <c r="E290" s="408">
        <v>2015</v>
      </c>
      <c r="F290" s="408">
        <v>2016</v>
      </c>
      <c r="G290" s="408">
        <v>2017</v>
      </c>
      <c r="H290" s="408"/>
      <c r="I290" s="408"/>
      <c r="J290" s="408"/>
      <c r="K290" s="408"/>
      <c r="L290" s="408">
        <f>Table147[[#This Row],[Ambitious target 2030]]+Table147[[#This Row],[Ambitious target 2030]]*0.5</f>
        <v>0</v>
      </c>
      <c r="M290" s="407"/>
      <c r="N290" s="407"/>
      <c r="O290" s="407"/>
      <c r="P290" s="407"/>
      <c r="Q290" s="407">
        <f>Table147[[#This Row],[Red target]]-Table147[[#This Row],[Red target]]*0.5</f>
        <v>0</v>
      </c>
      <c r="R290" s="407"/>
      <c r="S290" s="407"/>
      <c r="T290" s="407"/>
      <c r="U290" s="407"/>
      <c r="V290" s="407"/>
      <c r="W290" s="407"/>
      <c r="X290" s="407"/>
      <c r="Y290" s="407"/>
      <c r="Z290" s="407"/>
      <c r="AA290" s="407"/>
      <c r="AB290" s="407"/>
      <c r="AC290" s="413"/>
    </row>
    <row r="291" spans="1:35" hidden="1" x14ac:dyDescent="0.25">
      <c r="A291" s="418" t="s">
        <v>596</v>
      </c>
      <c r="B291" s="437" t="s">
        <v>821</v>
      </c>
      <c r="C291" s="437" t="s">
        <v>667</v>
      </c>
      <c r="D291" s="436" t="s">
        <v>799</v>
      </c>
      <c r="E291" s="420">
        <v>66.270574999999994</v>
      </c>
      <c r="F291" s="420">
        <v>58.728148148148144</v>
      </c>
      <c r="G291" s="420">
        <v>60.290185185185187</v>
      </c>
      <c r="H291" s="421">
        <v>2015</v>
      </c>
      <c r="I291" s="421">
        <v>66.270574999999994</v>
      </c>
      <c r="J291" s="421">
        <v>2015</v>
      </c>
      <c r="K291" s="411">
        <v>24.5441</v>
      </c>
      <c r="L291" s="411">
        <f>Table147[[#This Row],[Ambitious target 2030]]-Table147[[#This Row],[Ambitious target 2030]]*0.5</f>
        <v>13.254114999999999</v>
      </c>
      <c r="M291" s="427">
        <f>Table147[[#This Row],[Data reference value]]+Table147[[#This Row],[Data reference value]]*Table147[[#This Row],[Ambitious target improvement rate 2030]]</f>
        <v>26.508229999999998</v>
      </c>
      <c r="N291" s="427">
        <v>-0.6</v>
      </c>
      <c r="O291" s="421">
        <f>(Table147[[#This Row],[Ambitious target 2030]]-Table147[[#This Row],[Model reference value]])*0.5+Table147[[#This Row],[Model reference value]]</f>
        <v>25.526164999999999</v>
      </c>
      <c r="P291" s="421"/>
      <c r="Q291" s="421">
        <f>Table147[[#This Row],[Red target]]+Table147[[#This Row],[Red target]]*0.5</f>
        <v>36.81615</v>
      </c>
      <c r="R291" s="421"/>
      <c r="S291" s="421"/>
      <c r="T291" s="421"/>
      <c r="U291" s="421"/>
      <c r="V291" s="421"/>
      <c r="W291" s="421"/>
      <c r="X291" s="421"/>
      <c r="Y291" s="421"/>
      <c r="Z291" s="421">
        <f>Table147[[#This Row],[Model reference value]]</f>
        <v>24.5441</v>
      </c>
      <c r="AA291" s="421" t="s">
        <v>1140</v>
      </c>
      <c r="AB291" s="421" t="s">
        <v>1141</v>
      </c>
      <c r="AC291" s="419" t="s">
        <v>822</v>
      </c>
      <c r="AD291" s="360"/>
      <c r="AE291" s="360"/>
      <c r="AF291" s="360"/>
      <c r="AG291" s="360"/>
      <c r="AH291" s="360"/>
      <c r="AI291" s="360"/>
    </row>
    <row r="292" spans="1:35" hidden="1" x14ac:dyDescent="0.25">
      <c r="A292" s="390"/>
      <c r="B292" s="369"/>
      <c r="C292" s="369"/>
      <c r="D292" s="378" t="s">
        <v>771</v>
      </c>
      <c r="E292" s="379">
        <v>192.881</v>
      </c>
      <c r="F292" s="380">
        <v>206.16399999999999</v>
      </c>
      <c r="G292" s="381">
        <v>212.167</v>
      </c>
      <c r="H292" s="421"/>
      <c r="I292" s="375"/>
      <c r="J292" s="375"/>
      <c r="K292" s="375"/>
      <c r="L292" s="375">
        <f>Table147[[#This Row],[Ambitious target 2030]]+Table147[[#This Row],[Ambitious target 2030]]*0.5</f>
        <v>0</v>
      </c>
      <c r="M292" s="375"/>
      <c r="N292" s="375"/>
      <c r="O292" s="375"/>
      <c r="P292" s="375"/>
      <c r="Q292" s="375">
        <f>Table147[[#This Row],[Red target]]-Table147[[#This Row],[Red target]]*0.5</f>
        <v>0</v>
      </c>
      <c r="R292" s="375"/>
      <c r="S292" s="375"/>
      <c r="T292" s="375"/>
      <c r="U292" s="375"/>
      <c r="V292" s="375"/>
      <c r="W292" s="375"/>
      <c r="X292" s="375"/>
      <c r="Y292" s="375"/>
      <c r="Z292" s="375"/>
      <c r="AA292" s="375"/>
      <c r="AB292" s="375"/>
      <c r="AC292" s="396"/>
      <c r="AD292" s="360"/>
      <c r="AE292" s="360"/>
      <c r="AF292" s="360"/>
      <c r="AG292" s="360"/>
      <c r="AH292" s="360"/>
      <c r="AI292" s="360"/>
    </row>
    <row r="293" spans="1:35" hidden="1" x14ac:dyDescent="0.25">
      <c r="A293" s="390"/>
      <c r="B293" s="369"/>
      <c r="C293" s="369"/>
      <c r="D293" s="378" t="s">
        <v>680</v>
      </c>
      <c r="E293" s="379">
        <v>189</v>
      </c>
      <c r="F293" s="380">
        <v>194</v>
      </c>
      <c r="G293" s="381">
        <v>187</v>
      </c>
      <c r="H293" s="421"/>
      <c r="I293" s="375"/>
      <c r="J293" s="375"/>
      <c r="K293" s="375"/>
      <c r="L293" s="375">
        <f>Table147[[#This Row],[Ambitious target 2030]]+Table147[[#This Row],[Ambitious target 2030]]*0.5</f>
        <v>0</v>
      </c>
      <c r="M293" s="375"/>
      <c r="N293" s="375"/>
      <c r="O293" s="375"/>
      <c r="P293" s="375"/>
      <c r="Q293" s="375">
        <f>Table147[[#This Row],[Red target]]-Table147[[#This Row],[Red target]]*0.5</f>
        <v>0</v>
      </c>
      <c r="R293" s="375"/>
      <c r="S293" s="375"/>
      <c r="T293" s="375"/>
      <c r="U293" s="375"/>
      <c r="V293" s="375"/>
      <c r="W293" s="375"/>
      <c r="X293" s="375"/>
      <c r="Y293" s="375"/>
      <c r="Z293" s="375"/>
      <c r="AA293" s="375"/>
      <c r="AB293" s="375"/>
      <c r="AC293" s="396"/>
      <c r="AD293" s="360"/>
      <c r="AE293" s="360"/>
      <c r="AF293" s="360"/>
      <c r="AG293" s="360"/>
      <c r="AH293" s="360"/>
      <c r="AI293" s="360"/>
    </row>
    <row r="294" spans="1:35" hidden="1" x14ac:dyDescent="0.25">
      <c r="A294" s="390"/>
      <c r="B294" s="369"/>
      <c r="C294" s="369"/>
      <c r="D294" s="378" t="s">
        <v>715</v>
      </c>
      <c r="E294" s="379">
        <v>172.27</v>
      </c>
      <c r="F294" s="380">
        <v>179.29</v>
      </c>
      <c r="G294" s="381">
        <v>179.31800000000001</v>
      </c>
      <c r="H294" s="421"/>
      <c r="I294" s="375"/>
      <c r="J294" s="375"/>
      <c r="K294" s="375"/>
      <c r="L294" s="375">
        <f>Table147[[#This Row],[Ambitious target 2030]]+Table147[[#This Row],[Ambitious target 2030]]*0.5</f>
        <v>0</v>
      </c>
      <c r="M294" s="375"/>
      <c r="N294" s="375"/>
      <c r="O294" s="375"/>
      <c r="P294" s="375"/>
      <c r="Q294" s="375">
        <f>Table147[[#This Row],[Red target]]-Table147[[#This Row],[Red target]]*0.5</f>
        <v>0</v>
      </c>
      <c r="R294" s="375"/>
      <c r="S294" s="375"/>
      <c r="T294" s="375"/>
      <c r="U294" s="375"/>
      <c r="V294" s="375"/>
      <c r="W294" s="375"/>
      <c r="X294" s="375"/>
      <c r="Y294" s="375"/>
      <c r="Z294" s="375"/>
      <c r="AA294" s="375"/>
      <c r="AB294" s="375"/>
      <c r="AC294" s="396"/>
      <c r="AD294" s="360"/>
      <c r="AE294" s="360"/>
      <c r="AF294" s="360"/>
      <c r="AG294" s="360"/>
      <c r="AH294" s="360"/>
      <c r="AI294" s="360"/>
    </row>
    <row r="295" spans="1:35" hidden="1" x14ac:dyDescent="0.25">
      <c r="A295" s="390"/>
      <c r="B295" s="369"/>
      <c r="C295" s="369"/>
      <c r="D295" s="378" t="s">
        <v>824</v>
      </c>
      <c r="E295" s="379">
        <v>98</v>
      </c>
      <c r="F295" s="380">
        <v>91</v>
      </c>
      <c r="G295" s="381">
        <v>101</v>
      </c>
      <c r="H295" s="421"/>
      <c r="I295" s="375"/>
      <c r="J295" s="375"/>
      <c r="K295" s="375"/>
      <c r="L295" s="375">
        <f>Table147[[#This Row],[Ambitious target 2030]]+Table147[[#This Row],[Ambitious target 2030]]*0.5</f>
        <v>0</v>
      </c>
      <c r="M295" s="375"/>
      <c r="N295" s="375"/>
      <c r="O295" s="375"/>
      <c r="P295" s="375"/>
      <c r="Q295" s="375">
        <f>Table147[[#This Row],[Red target]]-Table147[[#This Row],[Red target]]*0.5</f>
        <v>0</v>
      </c>
      <c r="R295" s="375"/>
      <c r="S295" s="375"/>
      <c r="T295" s="375"/>
      <c r="U295" s="375"/>
      <c r="V295" s="375"/>
      <c r="W295" s="375"/>
      <c r="X295" s="375"/>
      <c r="Y295" s="375"/>
      <c r="Z295" s="375"/>
      <c r="AA295" s="375"/>
      <c r="AB295" s="375"/>
      <c r="AC295" s="396"/>
      <c r="AD295" s="360"/>
      <c r="AE295" s="360"/>
      <c r="AF295" s="360"/>
      <c r="AG295" s="360"/>
      <c r="AH295" s="360"/>
      <c r="AI295" s="360"/>
    </row>
    <row r="296" spans="1:35" hidden="1" x14ac:dyDescent="0.25">
      <c r="A296" s="390"/>
      <c r="B296" s="369"/>
      <c r="C296" s="369"/>
      <c r="D296" s="378" t="s">
        <v>825</v>
      </c>
      <c r="E296" s="379">
        <v>83</v>
      </c>
      <c r="F296" s="380">
        <v>87</v>
      </c>
      <c r="G296" s="381">
        <v>86</v>
      </c>
      <c r="H296" s="421"/>
      <c r="I296" s="375"/>
      <c r="J296" s="375"/>
      <c r="K296" s="375"/>
      <c r="L296" s="375">
        <f>Table147[[#This Row],[Ambitious target 2030]]+Table147[[#This Row],[Ambitious target 2030]]*0.5</f>
        <v>0</v>
      </c>
      <c r="M296" s="375"/>
      <c r="N296" s="375"/>
      <c r="O296" s="375"/>
      <c r="P296" s="375"/>
      <c r="Q296" s="375">
        <f>Table147[[#This Row],[Red target]]-Table147[[#This Row],[Red target]]*0.5</f>
        <v>0</v>
      </c>
      <c r="R296" s="375"/>
      <c r="S296" s="375"/>
      <c r="T296" s="375"/>
      <c r="U296" s="375"/>
      <c r="V296" s="375"/>
      <c r="W296" s="375"/>
      <c r="X296" s="375"/>
      <c r="Y296" s="375"/>
      <c r="Z296" s="375"/>
      <c r="AA296" s="375"/>
      <c r="AB296" s="375"/>
      <c r="AC296" s="396"/>
      <c r="AD296" s="360"/>
      <c r="AE296" s="360"/>
      <c r="AF296" s="360"/>
      <c r="AG296" s="360"/>
      <c r="AH296" s="360"/>
      <c r="AI296" s="360"/>
    </row>
    <row r="297" spans="1:35" hidden="1" x14ac:dyDescent="0.25">
      <c r="A297" s="390"/>
      <c r="B297" s="369"/>
      <c r="C297" s="369"/>
      <c r="D297" s="378" t="s">
        <v>826</v>
      </c>
      <c r="E297" s="382">
        <v>28</v>
      </c>
      <c r="F297" s="383">
        <v>25</v>
      </c>
      <c r="G297" s="384">
        <v>22</v>
      </c>
      <c r="H297" s="421"/>
      <c r="I297" s="375"/>
      <c r="J297" s="375"/>
      <c r="K297" s="375"/>
      <c r="L297" s="375">
        <f>Table147[[#This Row],[Ambitious target 2030]]+Table147[[#This Row],[Ambitious target 2030]]*0.5</f>
        <v>0</v>
      </c>
      <c r="M297" s="375"/>
      <c r="N297" s="375"/>
      <c r="O297" s="375"/>
      <c r="P297" s="375"/>
      <c r="Q297" s="375">
        <f>Table147[[#This Row],[Red target]]-Table147[[#This Row],[Red target]]*0.5</f>
        <v>0</v>
      </c>
      <c r="R297" s="375"/>
      <c r="S297" s="375"/>
      <c r="T297" s="375"/>
      <c r="U297" s="375"/>
      <c r="V297" s="375"/>
      <c r="W297" s="375"/>
      <c r="X297" s="375"/>
      <c r="Y297" s="375"/>
      <c r="Z297" s="375"/>
      <c r="AA297" s="375"/>
      <c r="AB297" s="375"/>
      <c r="AC297" s="396"/>
      <c r="AD297" s="360"/>
      <c r="AE297" s="360"/>
      <c r="AF297" s="360"/>
      <c r="AG297" s="360"/>
      <c r="AH297" s="360"/>
      <c r="AI297" s="360"/>
    </row>
    <row r="298" spans="1:35" hidden="1" x14ac:dyDescent="0.25">
      <c r="A298" s="390"/>
      <c r="B298" s="369"/>
      <c r="C298" s="369"/>
      <c r="D298" s="378" t="s">
        <v>813</v>
      </c>
      <c r="E298" s="382">
        <v>19.811</v>
      </c>
      <c r="F298" s="383">
        <v>18.646999999999998</v>
      </c>
      <c r="G298" s="384">
        <v>19.826000000000001</v>
      </c>
      <c r="H298" s="421"/>
      <c r="I298" s="375"/>
      <c r="J298" s="375"/>
      <c r="K298" s="375"/>
      <c r="L298" s="375">
        <f>Table147[[#This Row],[Ambitious target 2030]]+Table147[[#This Row],[Ambitious target 2030]]*0.5</f>
        <v>0</v>
      </c>
      <c r="M298" s="375"/>
      <c r="N298" s="375"/>
      <c r="O298" s="375"/>
      <c r="P298" s="375"/>
      <c r="Q298" s="375">
        <f>Table147[[#This Row],[Red target]]-Table147[[#This Row],[Red target]]*0.5</f>
        <v>0</v>
      </c>
      <c r="R298" s="375"/>
      <c r="S298" s="375"/>
      <c r="T298" s="375"/>
      <c r="U298" s="375"/>
      <c r="V298" s="375"/>
      <c r="W298" s="375"/>
      <c r="X298" s="375"/>
      <c r="Y298" s="375"/>
      <c r="Z298" s="375"/>
      <c r="AA298" s="375"/>
      <c r="AB298" s="375"/>
      <c r="AC298" s="396"/>
      <c r="AD298" s="360"/>
      <c r="AE298" s="360"/>
      <c r="AF298" s="360"/>
      <c r="AG298" s="360"/>
      <c r="AH298" s="360"/>
      <c r="AI298" s="360"/>
    </row>
    <row r="299" spans="1:35" hidden="1" x14ac:dyDescent="0.25">
      <c r="A299" s="390"/>
      <c r="B299" s="369"/>
      <c r="C299" s="369"/>
      <c r="D299" s="378" t="s">
        <v>772</v>
      </c>
      <c r="E299" s="382">
        <v>26.582000000000001</v>
      </c>
      <c r="F299" s="383">
        <v>21.818000000000001</v>
      </c>
      <c r="G299" s="384">
        <v>19.791</v>
      </c>
      <c r="H299" s="421"/>
      <c r="I299" s="375"/>
      <c r="J299" s="375"/>
      <c r="K299" s="375"/>
      <c r="L299" s="375">
        <f>Table147[[#This Row],[Ambitious target 2030]]+Table147[[#This Row],[Ambitious target 2030]]*0.5</f>
        <v>0</v>
      </c>
      <c r="M299" s="375"/>
      <c r="N299" s="375"/>
      <c r="O299" s="375"/>
      <c r="P299" s="375"/>
      <c r="Q299" s="375">
        <f>Table147[[#This Row],[Red target]]-Table147[[#This Row],[Red target]]*0.5</f>
        <v>0</v>
      </c>
      <c r="R299" s="375"/>
      <c r="S299" s="375"/>
      <c r="T299" s="375"/>
      <c r="U299" s="375"/>
      <c r="V299" s="375"/>
      <c r="W299" s="375"/>
      <c r="X299" s="375"/>
      <c r="Y299" s="375"/>
      <c r="Z299" s="375"/>
      <c r="AA299" s="375"/>
      <c r="AB299" s="375"/>
      <c r="AC299" s="396"/>
      <c r="AD299" s="360"/>
      <c r="AE299" s="360"/>
      <c r="AF299" s="360"/>
      <c r="AG299" s="360"/>
      <c r="AH299" s="360"/>
      <c r="AI299" s="360"/>
    </row>
    <row r="300" spans="1:35" hidden="1" x14ac:dyDescent="0.25">
      <c r="A300" s="390"/>
      <c r="B300" s="369"/>
      <c r="C300" s="369"/>
      <c r="D300" s="378" t="s">
        <v>689</v>
      </c>
      <c r="E300" s="382">
        <v>8.423</v>
      </c>
      <c r="F300" s="383">
        <v>7.2110000000000003</v>
      </c>
      <c r="G300" s="384">
        <v>7.6669999999999998</v>
      </c>
      <c r="H300" s="421"/>
      <c r="I300" s="375"/>
      <c r="J300" s="375"/>
      <c r="K300" s="375"/>
      <c r="L300" s="375">
        <f>Table147[[#This Row],[Ambitious target 2030]]+Table147[[#This Row],[Ambitious target 2030]]*0.5</f>
        <v>0</v>
      </c>
      <c r="M300" s="375"/>
      <c r="N300" s="375"/>
      <c r="O300" s="375"/>
      <c r="P300" s="375"/>
      <c r="Q300" s="375">
        <f>Table147[[#This Row],[Red target]]-Table147[[#This Row],[Red target]]*0.5</f>
        <v>0</v>
      </c>
      <c r="R300" s="375"/>
      <c r="S300" s="375"/>
      <c r="T300" s="375"/>
      <c r="U300" s="375"/>
      <c r="V300" s="375"/>
      <c r="W300" s="375"/>
      <c r="X300" s="375"/>
      <c r="Y300" s="375"/>
      <c r="Z300" s="375"/>
      <c r="AA300" s="375"/>
      <c r="AB300" s="375"/>
      <c r="AC300" s="396"/>
      <c r="AD300" s="360"/>
      <c r="AE300" s="360"/>
      <c r="AF300" s="360"/>
      <c r="AG300" s="360"/>
      <c r="AH300" s="360"/>
      <c r="AI300" s="360"/>
    </row>
    <row r="301" spans="1:35" hidden="1" x14ac:dyDescent="0.25">
      <c r="A301" s="390"/>
      <c r="B301" s="369"/>
      <c r="C301" s="369"/>
      <c r="D301" s="378" t="s">
        <v>827</v>
      </c>
      <c r="E301" s="382">
        <v>9</v>
      </c>
      <c r="F301" s="383">
        <v>-1</v>
      </c>
      <c r="G301" s="384">
        <v>-12</v>
      </c>
      <c r="H301" s="421"/>
      <c r="I301" s="375"/>
      <c r="J301" s="375"/>
      <c r="K301" s="375"/>
      <c r="L301" s="375">
        <f>Table147[[#This Row],[Ambitious target 2030]]+Table147[[#This Row],[Ambitious target 2030]]*0.5</f>
        <v>0</v>
      </c>
      <c r="M301" s="375"/>
      <c r="N301" s="375"/>
      <c r="O301" s="375"/>
      <c r="P301" s="375"/>
      <c r="Q301" s="375">
        <f>Table147[[#This Row],[Red target]]-Table147[[#This Row],[Red target]]*0.5</f>
        <v>0</v>
      </c>
      <c r="R301" s="375"/>
      <c r="S301" s="375"/>
      <c r="T301" s="375"/>
      <c r="U301" s="375"/>
      <c r="V301" s="375"/>
      <c r="W301" s="375"/>
      <c r="X301" s="375"/>
      <c r="Y301" s="375"/>
      <c r="Z301" s="375"/>
      <c r="AA301" s="375"/>
      <c r="AB301" s="375"/>
      <c r="AC301" s="396"/>
      <c r="AD301" s="360"/>
      <c r="AE301" s="360"/>
      <c r="AF301" s="360"/>
      <c r="AG301" s="360"/>
      <c r="AH301" s="360"/>
      <c r="AI301" s="360"/>
    </row>
    <row r="302" spans="1:35" s="386" customFormat="1" hidden="1" x14ac:dyDescent="0.25">
      <c r="A302" s="409"/>
      <c r="B302" s="406"/>
      <c r="C302" s="406"/>
      <c r="D302" s="406"/>
      <c r="E302" s="407"/>
      <c r="F302" s="407"/>
      <c r="G302" s="407">
        <v>2016</v>
      </c>
      <c r="H302" s="407"/>
      <c r="I302" s="407"/>
      <c r="J302" s="407"/>
      <c r="K302" s="407"/>
      <c r="L302" s="407">
        <f>Table147[[#This Row],[Ambitious target 2030]]+Table147[[#This Row],[Ambitious target 2030]]*0.5</f>
        <v>0</v>
      </c>
      <c r="M302" s="407"/>
      <c r="N302" s="407"/>
      <c r="O302" s="407"/>
      <c r="P302" s="407"/>
      <c r="Q302" s="407">
        <f>Table147[[#This Row],[Red target]]-Table147[[#This Row],[Red target]]*0.5</f>
        <v>0</v>
      </c>
      <c r="R302" s="407"/>
      <c r="S302" s="407"/>
      <c r="T302" s="407"/>
      <c r="U302" s="407"/>
      <c r="V302" s="407"/>
      <c r="W302" s="407"/>
      <c r="X302" s="407"/>
      <c r="Y302" s="407"/>
      <c r="Z302" s="407"/>
      <c r="AA302" s="407"/>
      <c r="AB302" s="407"/>
      <c r="AC302" s="413"/>
    </row>
    <row r="303" spans="1:35" x14ac:dyDescent="0.25">
      <c r="A303" s="418" t="s">
        <v>597</v>
      </c>
      <c r="B303" s="437" t="s">
        <v>820</v>
      </c>
      <c r="C303" s="437" t="s">
        <v>818</v>
      </c>
      <c r="D303" s="436" t="s">
        <v>1090</v>
      </c>
      <c r="E303" s="420"/>
      <c r="F303" s="420"/>
      <c r="G303" s="420">
        <v>9.0589999999999993</v>
      </c>
      <c r="H303" s="421">
        <v>2016</v>
      </c>
      <c r="I303" s="421">
        <v>9.0589999999999993</v>
      </c>
      <c r="J303" s="421">
        <v>2015</v>
      </c>
      <c r="K303" s="411">
        <v>9.0136800000000008</v>
      </c>
      <c r="L303" s="411">
        <f>Table147[[#This Row],[Ambitious target 2030]]-Table147[[#This Row],[Ambitious target 2030]]*0.5</f>
        <v>4</v>
      </c>
      <c r="M303" s="421">
        <v>8</v>
      </c>
      <c r="N303" s="421"/>
      <c r="O303" s="421">
        <f>(M303-K303)*0.5+K303</f>
        <v>8.5068400000000004</v>
      </c>
      <c r="P303" s="421"/>
      <c r="Q303" s="421">
        <f>Table147[[#This Row],[Red target]]+Table147[[#This Row],[Red target]]*0.5</f>
        <v>13.520520000000001</v>
      </c>
      <c r="R303" s="421"/>
      <c r="S303" s="421"/>
      <c r="T303" s="421"/>
      <c r="U303" s="421"/>
      <c r="V303" s="421"/>
      <c r="W303" s="421"/>
      <c r="X303" s="421"/>
      <c r="Y303" s="421"/>
      <c r="Z303" s="421">
        <f>K303</f>
        <v>9.0136800000000008</v>
      </c>
      <c r="AA303" s="421" t="s">
        <v>985</v>
      </c>
      <c r="AB303" s="421" t="s">
        <v>1035</v>
      </c>
      <c r="AC303" s="419" t="s">
        <v>816</v>
      </c>
      <c r="AD303" s="360"/>
      <c r="AE303" s="360"/>
      <c r="AF303" s="360"/>
      <c r="AG303" s="360"/>
      <c r="AH303" s="360"/>
      <c r="AI303" s="360"/>
    </row>
    <row r="304" spans="1:35" hidden="1" x14ac:dyDescent="0.25">
      <c r="A304" s="390"/>
      <c r="B304" s="369"/>
      <c r="C304" s="369"/>
      <c r="D304" s="369" t="s">
        <v>811</v>
      </c>
      <c r="E304" s="379"/>
      <c r="F304" s="380"/>
      <c r="G304" s="381">
        <v>225</v>
      </c>
      <c r="H304" s="421"/>
      <c r="I304" s="375"/>
      <c r="J304" s="375"/>
      <c r="K304" s="375"/>
      <c r="L304" s="375">
        <f>Table147[[#This Row],[Ambitious target 2030]]+Table147[[#This Row],[Ambitious target 2030]]*0.5</f>
        <v>0</v>
      </c>
      <c r="M304" s="375"/>
      <c r="N304" s="375"/>
      <c r="O304" s="375"/>
      <c r="P304" s="375"/>
      <c r="Q304" s="375">
        <f>Table147[[#This Row],[Red target]]-Table147[[#This Row],[Red target]]*0.5</f>
        <v>0</v>
      </c>
      <c r="R304" s="375"/>
      <c r="S304" s="375"/>
      <c r="T304" s="375"/>
      <c r="U304" s="375"/>
      <c r="V304" s="375"/>
      <c r="W304" s="375"/>
      <c r="X304" s="375"/>
      <c r="Y304" s="375"/>
      <c r="Z304" s="375"/>
      <c r="AA304" s="375"/>
      <c r="AB304" s="375"/>
      <c r="AC304" s="396"/>
      <c r="AD304" s="360"/>
      <c r="AE304" s="360"/>
      <c r="AF304" s="360"/>
      <c r="AG304" s="360"/>
      <c r="AH304" s="360"/>
      <c r="AI304" s="360"/>
    </row>
    <row r="305" spans="1:35" hidden="1" x14ac:dyDescent="0.25">
      <c r="A305" s="390"/>
      <c r="B305" s="369"/>
      <c r="C305" s="369"/>
      <c r="D305" s="369" t="s">
        <v>699</v>
      </c>
      <c r="E305" s="379"/>
      <c r="F305" s="380"/>
      <c r="G305" s="381">
        <v>148</v>
      </c>
      <c r="H305" s="421"/>
      <c r="I305" s="375"/>
      <c r="J305" s="375"/>
      <c r="K305" s="375"/>
      <c r="L305" s="375">
        <f>Table147[[#This Row],[Ambitious target 2030]]+Table147[[#This Row],[Ambitious target 2030]]*0.5</f>
        <v>0</v>
      </c>
      <c r="M305" s="375"/>
      <c r="N305" s="375"/>
      <c r="O305" s="375"/>
      <c r="P305" s="375"/>
      <c r="Q305" s="375">
        <f>Table147[[#This Row],[Red target]]-Table147[[#This Row],[Red target]]*0.5</f>
        <v>0</v>
      </c>
      <c r="R305" s="375"/>
      <c r="S305" s="375"/>
      <c r="T305" s="375"/>
      <c r="U305" s="375"/>
      <c r="V305" s="375"/>
      <c r="W305" s="375"/>
      <c r="X305" s="375"/>
      <c r="Y305" s="375"/>
      <c r="Z305" s="375"/>
      <c r="AA305" s="375"/>
      <c r="AB305" s="375"/>
      <c r="AC305" s="403"/>
      <c r="AD305" s="360"/>
      <c r="AE305" s="360"/>
      <c r="AF305" s="360"/>
      <c r="AG305" s="360"/>
      <c r="AH305" s="360"/>
      <c r="AI305" s="360"/>
    </row>
    <row r="306" spans="1:35" hidden="1" x14ac:dyDescent="0.25">
      <c r="A306" s="390"/>
      <c r="B306" s="369"/>
      <c r="C306" s="369"/>
      <c r="D306" s="369" t="s">
        <v>812</v>
      </c>
      <c r="E306" s="379"/>
      <c r="F306" s="380"/>
      <c r="G306" s="381">
        <v>101</v>
      </c>
      <c r="H306" s="421"/>
      <c r="I306" s="375"/>
      <c r="J306" s="375"/>
      <c r="K306" s="375"/>
      <c r="L306" s="375">
        <f>Table147[[#This Row],[Ambitious target 2030]]+Table147[[#This Row],[Ambitious target 2030]]*0.5</f>
        <v>0</v>
      </c>
      <c r="M306" s="375"/>
      <c r="N306" s="375"/>
      <c r="O306" s="375"/>
      <c r="P306" s="375"/>
      <c r="Q306" s="375">
        <f>Table147[[#This Row],[Red target]]-Table147[[#This Row],[Red target]]*0.5</f>
        <v>0</v>
      </c>
      <c r="R306" s="375"/>
      <c r="S306" s="375"/>
      <c r="T306" s="375"/>
      <c r="U306" s="375"/>
      <c r="V306" s="375"/>
      <c r="W306" s="375"/>
      <c r="X306" s="375"/>
      <c r="Y306" s="375"/>
      <c r="Z306" s="375"/>
      <c r="AA306" s="375"/>
      <c r="AB306" s="375"/>
      <c r="AC306" s="396"/>
      <c r="AD306" s="360"/>
      <c r="AE306" s="360"/>
      <c r="AF306" s="360"/>
      <c r="AG306" s="360"/>
      <c r="AH306" s="360"/>
      <c r="AI306" s="360"/>
    </row>
    <row r="307" spans="1:35" hidden="1" x14ac:dyDescent="0.25">
      <c r="A307" s="390"/>
      <c r="B307" s="369"/>
      <c r="C307" s="369"/>
      <c r="D307" s="369" t="s">
        <v>702</v>
      </c>
      <c r="E307" s="379"/>
      <c r="F307" s="380"/>
      <c r="G307" s="381">
        <v>98</v>
      </c>
      <c r="H307" s="421"/>
      <c r="I307" s="375"/>
      <c r="J307" s="375"/>
      <c r="K307" s="375"/>
      <c r="L307" s="375">
        <f>Table147[[#This Row],[Ambitious target 2030]]+Table147[[#This Row],[Ambitious target 2030]]*0.5</f>
        <v>0</v>
      </c>
      <c r="M307" s="375"/>
      <c r="N307" s="375"/>
      <c r="O307" s="375"/>
      <c r="P307" s="375"/>
      <c r="Q307" s="375">
        <f>Table147[[#This Row],[Red target]]-Table147[[#This Row],[Red target]]*0.5</f>
        <v>0</v>
      </c>
      <c r="R307" s="375"/>
      <c r="S307" s="375"/>
      <c r="T307" s="375"/>
      <c r="U307" s="375"/>
      <c r="V307" s="375"/>
      <c r="W307" s="375"/>
      <c r="X307" s="375"/>
      <c r="Y307" s="375"/>
      <c r="Z307" s="375"/>
      <c r="AA307" s="375"/>
      <c r="AB307" s="375"/>
      <c r="AC307" s="396"/>
      <c r="AD307" s="360"/>
      <c r="AE307" s="360"/>
      <c r="AF307" s="360"/>
      <c r="AG307" s="360"/>
      <c r="AH307" s="360"/>
      <c r="AI307" s="360"/>
    </row>
    <row r="308" spans="1:35" hidden="1" x14ac:dyDescent="0.25">
      <c r="A308" s="390"/>
      <c r="B308" s="369"/>
      <c r="C308" s="369"/>
      <c r="D308" s="369" t="s">
        <v>813</v>
      </c>
      <c r="E308" s="379"/>
      <c r="F308" s="380"/>
      <c r="G308" s="381">
        <v>85</v>
      </c>
      <c r="H308" s="421"/>
      <c r="I308" s="375"/>
      <c r="J308" s="375"/>
      <c r="K308" s="375"/>
      <c r="L308" s="375">
        <f>Table147[[#This Row],[Ambitious target 2030]]+Table147[[#This Row],[Ambitious target 2030]]*0.5</f>
        <v>0</v>
      </c>
      <c r="M308" s="375"/>
      <c r="N308" s="375"/>
      <c r="O308" s="375"/>
      <c r="P308" s="375"/>
      <c r="Q308" s="375">
        <f>Table147[[#This Row],[Red target]]-Table147[[#This Row],[Red target]]*0.5</f>
        <v>0</v>
      </c>
      <c r="R308" s="375"/>
      <c r="S308" s="375"/>
      <c r="T308" s="375"/>
      <c r="U308" s="375"/>
      <c r="V308" s="375"/>
      <c r="W308" s="375"/>
      <c r="X308" s="375"/>
      <c r="Y308" s="375"/>
      <c r="Z308" s="375"/>
      <c r="AA308" s="375"/>
      <c r="AB308" s="375"/>
      <c r="AC308" s="396"/>
      <c r="AD308" s="360"/>
      <c r="AE308" s="360"/>
      <c r="AF308" s="360"/>
      <c r="AG308" s="360"/>
      <c r="AH308" s="360"/>
      <c r="AI308" s="360"/>
    </row>
    <row r="309" spans="1:35" hidden="1" x14ac:dyDescent="0.25">
      <c r="A309" s="390"/>
      <c r="B309" s="369"/>
      <c r="C309" s="369"/>
      <c r="D309" s="369" t="s">
        <v>929</v>
      </c>
      <c r="E309" s="382"/>
      <c r="F309" s="383"/>
      <c r="G309" s="384">
        <v>10</v>
      </c>
      <c r="H309" s="421"/>
      <c r="I309" s="375"/>
      <c r="J309" s="375"/>
      <c r="K309" s="375"/>
      <c r="L309" s="375">
        <f>Table147[[#This Row],[Ambitious target 2030]]+Table147[[#This Row],[Ambitious target 2030]]*0.5</f>
        <v>0</v>
      </c>
      <c r="M309" s="375"/>
      <c r="N309" s="375"/>
      <c r="O309" s="375"/>
      <c r="P309" s="375"/>
      <c r="Q309" s="375">
        <f>Table147[[#This Row],[Red target]]-Table147[[#This Row],[Red target]]*0.5</f>
        <v>0</v>
      </c>
      <c r="R309" s="375"/>
      <c r="S309" s="375"/>
      <c r="T309" s="375"/>
      <c r="U309" s="375"/>
      <c r="V309" s="375"/>
      <c r="W309" s="375"/>
      <c r="X309" s="375"/>
      <c r="Y309" s="375"/>
      <c r="Z309" s="375"/>
      <c r="AA309" s="375"/>
      <c r="AB309" s="375"/>
      <c r="AC309" s="396"/>
      <c r="AD309" s="360"/>
      <c r="AE309" s="360"/>
      <c r="AF309" s="360"/>
      <c r="AG309" s="360"/>
      <c r="AH309" s="360"/>
      <c r="AI309" s="360"/>
    </row>
    <row r="310" spans="1:35" hidden="1" x14ac:dyDescent="0.25">
      <c r="A310" s="390"/>
      <c r="B310" s="369"/>
      <c r="C310" s="369"/>
      <c r="D310" s="369" t="s">
        <v>844</v>
      </c>
      <c r="E310" s="382"/>
      <c r="F310" s="383"/>
      <c r="G310" s="384">
        <v>10</v>
      </c>
      <c r="H310" s="421"/>
      <c r="I310" s="375"/>
      <c r="J310" s="375"/>
      <c r="K310" s="375"/>
      <c r="L310" s="375">
        <f>Table147[[#This Row],[Ambitious target 2030]]+Table147[[#This Row],[Ambitious target 2030]]*0.5</f>
        <v>0</v>
      </c>
      <c r="M310" s="375"/>
      <c r="N310" s="375"/>
      <c r="O310" s="375"/>
      <c r="P310" s="375"/>
      <c r="Q310" s="375">
        <f>Table147[[#This Row],[Red target]]-Table147[[#This Row],[Red target]]*0.5</f>
        <v>0</v>
      </c>
      <c r="R310" s="375"/>
      <c r="S310" s="375"/>
      <c r="T310" s="375"/>
      <c r="U310" s="375"/>
      <c r="V310" s="375"/>
      <c r="W310" s="375"/>
      <c r="X310" s="375"/>
      <c r="Y310" s="375"/>
      <c r="Z310" s="375"/>
      <c r="AA310" s="375"/>
      <c r="AB310" s="375"/>
      <c r="AC310" s="396"/>
      <c r="AD310" s="360"/>
      <c r="AE310" s="360"/>
      <c r="AF310" s="360"/>
      <c r="AG310" s="360"/>
      <c r="AH310" s="360"/>
      <c r="AI310" s="360"/>
    </row>
    <row r="311" spans="1:35" hidden="1" x14ac:dyDescent="0.25">
      <c r="A311" s="390"/>
      <c r="B311" s="369"/>
      <c r="C311" s="369"/>
      <c r="D311" s="369" t="s">
        <v>928</v>
      </c>
      <c r="E311" s="382"/>
      <c r="F311" s="383"/>
      <c r="G311" s="384">
        <v>10</v>
      </c>
      <c r="H311" s="421"/>
      <c r="I311" s="375"/>
      <c r="J311" s="375"/>
      <c r="K311" s="375"/>
      <c r="L311" s="375">
        <f>Table147[[#This Row],[Ambitious target 2030]]+Table147[[#This Row],[Ambitious target 2030]]*0.5</f>
        <v>0</v>
      </c>
      <c r="M311" s="375"/>
      <c r="N311" s="375"/>
      <c r="O311" s="375"/>
      <c r="P311" s="375"/>
      <c r="Q311" s="375">
        <f>Table147[[#This Row],[Red target]]-Table147[[#This Row],[Red target]]*0.5</f>
        <v>0</v>
      </c>
      <c r="R311" s="375"/>
      <c r="S311" s="375"/>
      <c r="T311" s="375"/>
      <c r="U311" s="375"/>
      <c r="V311" s="375"/>
      <c r="W311" s="375"/>
      <c r="X311" s="375"/>
      <c r="Y311" s="375"/>
      <c r="Z311" s="375"/>
      <c r="AA311" s="375"/>
      <c r="AB311" s="375"/>
      <c r="AC311" s="396"/>
      <c r="AD311" s="360"/>
      <c r="AE311" s="360"/>
      <c r="AF311" s="360"/>
      <c r="AG311" s="360"/>
      <c r="AH311" s="360"/>
      <c r="AI311" s="360"/>
    </row>
    <row r="312" spans="1:35" hidden="1" x14ac:dyDescent="0.25">
      <c r="A312" s="390"/>
      <c r="B312" s="369"/>
      <c r="C312" s="369"/>
      <c r="D312" s="369" t="s">
        <v>1036</v>
      </c>
      <c r="E312" s="382"/>
      <c r="F312" s="383"/>
      <c r="G312" s="384">
        <v>5</v>
      </c>
      <c r="H312" s="421"/>
      <c r="I312" s="375"/>
      <c r="J312" s="375"/>
      <c r="K312" s="375"/>
      <c r="L312" s="375">
        <f>Table147[[#This Row],[Ambitious target 2030]]+Table147[[#This Row],[Ambitious target 2030]]*0.5</f>
        <v>0</v>
      </c>
      <c r="M312" s="375"/>
      <c r="N312" s="375"/>
      <c r="O312" s="375"/>
      <c r="P312" s="375"/>
      <c r="Q312" s="375">
        <f>Table147[[#This Row],[Red target]]-Table147[[#This Row],[Red target]]*0.5</f>
        <v>0</v>
      </c>
      <c r="R312" s="375"/>
      <c r="S312" s="375"/>
      <c r="T312" s="375"/>
      <c r="U312" s="375"/>
      <c r="V312" s="375"/>
      <c r="W312" s="375"/>
      <c r="X312" s="375"/>
      <c r="Y312" s="375"/>
      <c r="Z312" s="375"/>
      <c r="AA312" s="375"/>
      <c r="AB312" s="375"/>
      <c r="AC312" s="396"/>
      <c r="AD312" s="360"/>
      <c r="AE312" s="360"/>
      <c r="AF312" s="360"/>
      <c r="AG312" s="360"/>
      <c r="AH312" s="360"/>
      <c r="AI312" s="360"/>
    </row>
    <row r="313" spans="1:35" hidden="1" x14ac:dyDescent="0.25">
      <c r="A313" s="390"/>
      <c r="B313" s="369"/>
      <c r="C313" s="369"/>
      <c r="D313" s="369" t="s">
        <v>713</v>
      </c>
      <c r="E313" s="382"/>
      <c r="F313" s="383"/>
      <c r="G313" s="384">
        <v>5</v>
      </c>
      <c r="H313" s="421"/>
      <c r="I313" s="375"/>
      <c r="J313" s="375"/>
      <c r="K313" s="375"/>
      <c r="L313" s="375">
        <f>Table147[[#This Row],[Ambitious target 2030]]+Table147[[#This Row],[Ambitious target 2030]]*0.5</f>
        <v>0</v>
      </c>
      <c r="M313" s="375"/>
      <c r="N313" s="375"/>
      <c r="O313" s="375"/>
      <c r="P313" s="375"/>
      <c r="Q313" s="375">
        <f>Table147[[#This Row],[Red target]]-Table147[[#This Row],[Red target]]*0.5</f>
        <v>0</v>
      </c>
      <c r="R313" s="375"/>
      <c r="S313" s="375"/>
      <c r="T313" s="375"/>
      <c r="U313" s="375"/>
      <c r="V313" s="375"/>
      <c r="W313" s="375"/>
      <c r="X313" s="375"/>
      <c r="Y313" s="375"/>
      <c r="Z313" s="375"/>
      <c r="AA313" s="375"/>
      <c r="AB313" s="375"/>
      <c r="AC313" s="396"/>
      <c r="AD313" s="360"/>
      <c r="AE313" s="360"/>
      <c r="AF313" s="360"/>
      <c r="AG313" s="360"/>
      <c r="AH313" s="360"/>
      <c r="AI313" s="360"/>
    </row>
    <row r="314" spans="1:35" s="386" customFormat="1" hidden="1" x14ac:dyDescent="0.25">
      <c r="A314" s="409"/>
      <c r="B314" s="406"/>
      <c r="C314" s="406"/>
      <c r="D314" s="433"/>
      <c r="E314" s="407">
        <v>2015</v>
      </c>
      <c r="F314" s="407">
        <v>2016</v>
      </c>
      <c r="G314" s="407">
        <v>2017</v>
      </c>
      <c r="H314" s="407"/>
      <c r="I314" s="407"/>
      <c r="J314" s="407"/>
      <c r="K314" s="407"/>
      <c r="L314" s="407">
        <f>Table147[[#This Row],[Ambitious target 2030]]+Table147[[#This Row],[Ambitious target 2030]]*0.5</f>
        <v>0</v>
      </c>
      <c r="M314" s="407"/>
      <c r="N314" s="407"/>
      <c r="O314" s="407"/>
      <c r="P314" s="407"/>
      <c r="Q314" s="407">
        <f>Table147[[#This Row],[Red target]]-Table147[[#This Row],[Red target]]*0.5</f>
        <v>0</v>
      </c>
      <c r="R314" s="407"/>
      <c r="S314" s="407"/>
      <c r="T314" s="407"/>
      <c r="U314" s="407"/>
      <c r="V314" s="407"/>
      <c r="W314" s="407"/>
      <c r="X314" s="407"/>
      <c r="Y314" s="407"/>
      <c r="Z314" s="407"/>
      <c r="AA314" s="407"/>
      <c r="AB314" s="407"/>
      <c r="AC314" s="413"/>
    </row>
    <row r="315" spans="1:35" hidden="1" x14ac:dyDescent="0.25">
      <c r="A315" s="418" t="s">
        <v>598</v>
      </c>
      <c r="B315" s="437" t="s">
        <v>829</v>
      </c>
      <c r="C315" s="437" t="s">
        <v>819</v>
      </c>
      <c r="D315" s="436" t="s">
        <v>904</v>
      </c>
      <c r="E315" s="420">
        <v>106330.2</v>
      </c>
      <c r="F315" s="420">
        <v>108375.6</v>
      </c>
      <c r="G315" s="420">
        <v>107659.5</v>
      </c>
      <c r="H315" s="421">
        <v>2015</v>
      </c>
      <c r="I315" s="421">
        <v>106330.2</v>
      </c>
      <c r="J315" s="421">
        <v>2015</v>
      </c>
      <c r="K315" s="411">
        <v>108644</v>
      </c>
      <c r="L315" s="411">
        <f>Table147[[#This Row],[Ambitious target 2030]]-Table147[[#This Row],[Ambitious target 2030]]*0.5</f>
        <v>37215.57</v>
      </c>
      <c r="M315" s="427">
        <f>Table147[[#This Row],[Data reference value]]+Table147[[#This Row],[Data reference value]]*Table147[[#This Row],[Ambitious target improvement rate 2030]]</f>
        <v>74431.14</v>
      </c>
      <c r="N315" s="427">
        <v>-0.3</v>
      </c>
      <c r="O315" s="421">
        <f>(Table147[[#This Row],[Ambitious target 2030]]-Table147[[#This Row],[Model reference value]])*0.5+Table147[[#This Row],[Model reference value]]</f>
        <v>91537.57</v>
      </c>
      <c r="P315" s="421"/>
      <c r="Q315" s="421">
        <f>Table147[[#This Row],[Red target]]+Table147[[#This Row],[Red target]]*0.5</f>
        <v>162966</v>
      </c>
      <c r="R315" s="421"/>
      <c r="S315" s="421"/>
      <c r="T315" s="421"/>
      <c r="U315" s="421"/>
      <c r="V315" s="421"/>
      <c r="W315" s="421"/>
      <c r="X315" s="421"/>
      <c r="Y315" s="421"/>
      <c r="Z315" s="421">
        <f>Table147[[#This Row],[Model reference value]]</f>
        <v>108644</v>
      </c>
      <c r="AA315" s="421" t="s">
        <v>1140</v>
      </c>
      <c r="AB315" s="421"/>
      <c r="AC315" s="419" t="s">
        <v>846</v>
      </c>
      <c r="AD315" s="371" t="s">
        <v>934</v>
      </c>
      <c r="AE315" s="360"/>
      <c r="AF315" s="360"/>
      <c r="AG315" s="360"/>
      <c r="AH315" s="360"/>
      <c r="AI315" s="360"/>
    </row>
    <row r="316" spans="1:35" hidden="1" x14ac:dyDescent="0.25">
      <c r="A316" s="390"/>
      <c r="B316" s="369"/>
      <c r="C316" s="369"/>
      <c r="D316" s="385" t="s">
        <v>777</v>
      </c>
      <c r="E316" s="379">
        <v>29306</v>
      </c>
      <c r="F316" s="380">
        <v>26522.6</v>
      </c>
      <c r="G316" s="381">
        <v>24580.9</v>
      </c>
      <c r="H316" s="421"/>
      <c r="I316" s="375"/>
      <c r="J316" s="375"/>
      <c r="K316" s="375"/>
      <c r="L316" s="375">
        <f>Table147[[#This Row],[Ambitious target 2030]]+Table147[[#This Row],[Ambitious target 2030]]*0.5</f>
        <v>0</v>
      </c>
      <c r="M316" s="375"/>
      <c r="N316" s="375"/>
      <c r="O316" s="375"/>
      <c r="P316" s="375"/>
      <c r="Q316" s="375">
        <f>Table147[[#This Row],[Red target]]-Table147[[#This Row],[Red target]]*0.5</f>
        <v>0</v>
      </c>
      <c r="R316" s="375"/>
      <c r="S316" s="375"/>
      <c r="T316" s="375"/>
      <c r="U316" s="375"/>
      <c r="V316" s="375"/>
      <c r="W316" s="375"/>
      <c r="X316" s="375"/>
      <c r="Y316" s="375"/>
      <c r="Z316" s="375"/>
      <c r="AA316" s="375"/>
      <c r="AB316" s="375"/>
      <c r="AC316" s="396"/>
      <c r="AD316" s="360"/>
      <c r="AE316" s="360"/>
      <c r="AF316" s="360"/>
      <c r="AG316" s="360"/>
      <c r="AH316" s="360"/>
      <c r="AI316" s="360"/>
    </row>
    <row r="317" spans="1:35" hidden="1" x14ac:dyDescent="0.25">
      <c r="A317" s="390"/>
      <c r="B317" s="369"/>
      <c r="C317" s="369"/>
      <c r="D317" s="385" t="s">
        <v>691</v>
      </c>
      <c r="E317" s="379">
        <v>17372.3</v>
      </c>
      <c r="F317" s="380">
        <v>16735.400000000001</v>
      </c>
      <c r="G317" s="381">
        <v>16958.400000000001</v>
      </c>
      <c r="H317" s="421"/>
      <c r="I317" s="375"/>
      <c r="J317" s="375"/>
      <c r="K317" s="375"/>
      <c r="L317" s="375">
        <f>Table147[[#This Row],[Ambitious target 2030]]+Table147[[#This Row],[Ambitious target 2030]]*0.5</f>
        <v>0</v>
      </c>
      <c r="M317" s="375"/>
      <c r="N317" s="375"/>
      <c r="O317" s="375"/>
      <c r="P317" s="375"/>
      <c r="Q317" s="375">
        <f>Table147[[#This Row],[Red target]]-Table147[[#This Row],[Red target]]*0.5</f>
        <v>0</v>
      </c>
      <c r="R317" s="375"/>
      <c r="S317" s="375"/>
      <c r="T317" s="375"/>
      <c r="U317" s="375"/>
      <c r="V317" s="375"/>
      <c r="W317" s="375"/>
      <c r="X317" s="375"/>
      <c r="Y317" s="375"/>
      <c r="Z317" s="375"/>
      <c r="AA317" s="375"/>
      <c r="AB317" s="375"/>
      <c r="AC317" s="396"/>
      <c r="AD317" s="360"/>
      <c r="AE317" s="360"/>
      <c r="AF317" s="360"/>
      <c r="AG317" s="360"/>
      <c r="AH317" s="360"/>
      <c r="AI317" s="360"/>
    </row>
    <row r="318" spans="1:35" hidden="1" x14ac:dyDescent="0.25">
      <c r="A318" s="390"/>
      <c r="B318" s="369"/>
      <c r="C318" s="369"/>
      <c r="D318" s="385" t="s">
        <v>805</v>
      </c>
      <c r="E318" s="379">
        <v>12161.9</v>
      </c>
      <c r="F318" s="380">
        <v>12812.9</v>
      </c>
      <c r="G318" s="381">
        <v>12897.9</v>
      </c>
      <c r="H318" s="421"/>
      <c r="I318" s="375"/>
      <c r="J318" s="375"/>
      <c r="K318" s="375"/>
      <c r="L318" s="375">
        <f>Table147[[#This Row],[Ambitious target 2030]]+Table147[[#This Row],[Ambitious target 2030]]*0.5</f>
        <v>0</v>
      </c>
      <c r="M318" s="375"/>
      <c r="N318" s="375"/>
      <c r="O318" s="375"/>
      <c r="P318" s="375"/>
      <c r="Q318" s="375">
        <f>Table147[[#This Row],[Red target]]-Table147[[#This Row],[Red target]]*0.5</f>
        <v>0</v>
      </c>
      <c r="R318" s="375"/>
      <c r="S318" s="375"/>
      <c r="T318" s="375"/>
      <c r="U318" s="375"/>
      <c r="V318" s="375"/>
      <c r="W318" s="375"/>
      <c r="X318" s="375"/>
      <c r="Y318" s="375"/>
      <c r="Z318" s="375"/>
      <c r="AA318" s="375"/>
      <c r="AB318" s="375"/>
      <c r="AC318" s="396"/>
      <c r="AD318" s="360"/>
      <c r="AE318" s="360"/>
      <c r="AF318" s="360"/>
      <c r="AG318" s="360"/>
      <c r="AH318" s="360"/>
      <c r="AI318" s="360"/>
    </row>
    <row r="319" spans="1:35" hidden="1" x14ac:dyDescent="0.25">
      <c r="A319" s="390"/>
      <c r="B319" s="369"/>
      <c r="C319" s="369"/>
      <c r="D319" s="385" t="s">
        <v>778</v>
      </c>
      <c r="E319" s="379">
        <v>3532.7</v>
      </c>
      <c r="F319" s="380">
        <v>4366</v>
      </c>
      <c r="G319" s="381">
        <v>4377</v>
      </c>
      <c r="H319" s="421"/>
      <c r="I319" s="375"/>
      <c r="J319" s="375"/>
      <c r="K319" s="375"/>
      <c r="L319" s="375">
        <f>Table147[[#This Row],[Ambitious target 2030]]+Table147[[#This Row],[Ambitious target 2030]]*0.5</f>
        <v>0</v>
      </c>
      <c r="M319" s="375"/>
      <c r="N319" s="375"/>
      <c r="O319" s="375"/>
      <c r="P319" s="375"/>
      <c r="Q319" s="375">
        <f>Table147[[#This Row],[Red target]]-Table147[[#This Row],[Red target]]*0.5</f>
        <v>0</v>
      </c>
      <c r="R319" s="375"/>
      <c r="S319" s="375"/>
      <c r="T319" s="375"/>
      <c r="U319" s="375"/>
      <c r="V319" s="375"/>
      <c r="W319" s="375"/>
      <c r="X319" s="375"/>
      <c r="Y319" s="375"/>
      <c r="Z319" s="375"/>
      <c r="AA319" s="375"/>
      <c r="AB319" s="375"/>
      <c r="AC319" s="396"/>
      <c r="AD319" s="360"/>
      <c r="AE319" s="360"/>
      <c r="AF319" s="360"/>
      <c r="AG319" s="360"/>
      <c r="AH319" s="360"/>
      <c r="AI319" s="360"/>
    </row>
    <row r="320" spans="1:35" hidden="1" x14ac:dyDescent="0.25">
      <c r="A320" s="390"/>
      <c r="B320" s="369"/>
      <c r="C320" s="369"/>
      <c r="D320" s="385" t="s">
        <v>775</v>
      </c>
      <c r="E320" s="379">
        <v>2860</v>
      </c>
      <c r="F320" s="380">
        <v>3231.9</v>
      </c>
      <c r="G320" s="381">
        <v>3473</v>
      </c>
      <c r="H320" s="421"/>
      <c r="I320" s="375"/>
      <c r="J320" s="375"/>
      <c r="K320" s="375"/>
      <c r="L320" s="375">
        <f>Table147[[#This Row],[Ambitious target 2030]]+Table147[[#This Row],[Ambitious target 2030]]*0.5</f>
        <v>0</v>
      </c>
      <c r="M320" s="375"/>
      <c r="N320" s="375"/>
      <c r="O320" s="375"/>
      <c r="P320" s="375"/>
      <c r="Q320" s="375">
        <f>Table147[[#This Row],[Red target]]-Table147[[#This Row],[Red target]]*0.5</f>
        <v>0</v>
      </c>
      <c r="R320" s="375"/>
      <c r="S320" s="375"/>
      <c r="T320" s="375"/>
      <c r="U320" s="375"/>
      <c r="V320" s="375"/>
      <c r="W320" s="375"/>
      <c r="X320" s="375"/>
      <c r="Y320" s="375"/>
      <c r="Z320" s="375"/>
      <c r="AA320" s="375"/>
      <c r="AB320" s="375"/>
      <c r="AC320" s="396"/>
      <c r="AD320" s="360"/>
      <c r="AE320" s="360"/>
      <c r="AF320" s="360"/>
      <c r="AG320" s="360"/>
      <c r="AH320" s="360"/>
      <c r="AI320" s="360"/>
    </row>
    <row r="321" spans="1:35" hidden="1" x14ac:dyDescent="0.25">
      <c r="A321" s="390"/>
      <c r="B321" s="369"/>
      <c r="C321" s="369"/>
      <c r="D321" s="385" t="s">
        <v>810</v>
      </c>
      <c r="E321" s="382">
        <v>5.6</v>
      </c>
      <c r="F321" s="383">
        <v>6.6</v>
      </c>
      <c r="G321" s="384">
        <v>6.7</v>
      </c>
      <c r="H321" s="421"/>
      <c r="I321" s="375"/>
      <c r="J321" s="375"/>
      <c r="K321" s="375"/>
      <c r="L321" s="375">
        <f>Table147[[#This Row],[Ambitious target 2030]]+Table147[[#This Row],[Ambitious target 2030]]*0.5</f>
        <v>0</v>
      </c>
      <c r="M321" s="375"/>
      <c r="N321" s="375"/>
      <c r="O321" s="375"/>
      <c r="P321" s="375"/>
      <c r="Q321" s="375">
        <f>Table147[[#This Row],[Red target]]-Table147[[#This Row],[Red target]]*0.5</f>
        <v>0</v>
      </c>
      <c r="R321" s="375"/>
      <c r="S321" s="375"/>
      <c r="T321" s="375"/>
      <c r="U321" s="375"/>
      <c r="V321" s="375"/>
      <c r="W321" s="375"/>
      <c r="X321" s="375"/>
      <c r="Y321" s="375"/>
      <c r="Z321" s="375"/>
      <c r="AA321" s="375"/>
      <c r="AB321" s="375"/>
      <c r="AC321" s="396"/>
      <c r="AD321" s="360"/>
      <c r="AE321" s="360"/>
      <c r="AF321" s="360"/>
      <c r="AG321" s="360"/>
      <c r="AH321" s="360"/>
      <c r="AI321" s="360"/>
    </row>
    <row r="322" spans="1:35" hidden="1" x14ac:dyDescent="0.25">
      <c r="A322" s="390"/>
      <c r="B322" s="369"/>
      <c r="C322" s="369"/>
      <c r="D322" s="385" t="s">
        <v>806</v>
      </c>
      <c r="E322" s="382">
        <v>9.6999999999999993</v>
      </c>
      <c r="F322" s="383">
        <v>5.3</v>
      </c>
      <c r="G322" s="384">
        <v>7.1</v>
      </c>
      <c r="H322" s="421"/>
      <c r="I322" s="375"/>
      <c r="J322" s="375"/>
      <c r="K322" s="375"/>
      <c r="L322" s="375">
        <f>Table147[[#This Row],[Ambitious target 2030]]+Table147[[#This Row],[Ambitious target 2030]]*0.5</f>
        <v>0</v>
      </c>
      <c r="M322" s="375"/>
      <c r="N322" s="375"/>
      <c r="O322" s="375"/>
      <c r="P322" s="375"/>
      <c r="Q322" s="375">
        <f>Table147[[#This Row],[Red target]]-Table147[[#This Row],[Red target]]*0.5</f>
        <v>0</v>
      </c>
      <c r="R322" s="375"/>
      <c r="S322" s="375"/>
      <c r="T322" s="375"/>
      <c r="U322" s="375"/>
      <c r="V322" s="375"/>
      <c r="W322" s="375"/>
      <c r="X322" s="375"/>
      <c r="Y322" s="375"/>
      <c r="Z322" s="375"/>
      <c r="AA322" s="375"/>
      <c r="AB322" s="375"/>
      <c r="AC322" s="396"/>
      <c r="AD322" s="360"/>
      <c r="AE322" s="360"/>
      <c r="AF322" s="360"/>
      <c r="AG322" s="360"/>
      <c r="AH322" s="360"/>
      <c r="AI322" s="360"/>
    </row>
    <row r="323" spans="1:35" hidden="1" x14ac:dyDescent="0.25">
      <c r="A323" s="390"/>
      <c r="B323" s="369"/>
      <c r="C323" s="369"/>
      <c r="D323" s="385" t="s">
        <v>689</v>
      </c>
      <c r="E323" s="382">
        <v>8.4</v>
      </c>
      <c r="F323" s="383">
        <v>7.3</v>
      </c>
      <c r="G323" s="384">
        <v>7.2</v>
      </c>
      <c r="H323" s="421"/>
      <c r="I323" s="375"/>
      <c r="J323" s="375"/>
      <c r="K323" s="375"/>
      <c r="L323" s="375">
        <f>Table147[[#This Row],[Ambitious target 2030]]+Table147[[#This Row],[Ambitious target 2030]]*0.5</f>
        <v>0</v>
      </c>
      <c r="M323" s="375"/>
      <c r="N323" s="375"/>
      <c r="O323" s="375"/>
      <c r="P323" s="375"/>
      <c r="Q323" s="375">
        <f>Table147[[#This Row],[Red target]]-Table147[[#This Row],[Red target]]*0.5</f>
        <v>0</v>
      </c>
      <c r="R323" s="375"/>
      <c r="S323" s="375"/>
      <c r="T323" s="375"/>
      <c r="U323" s="375"/>
      <c r="V323" s="375"/>
      <c r="W323" s="375"/>
      <c r="X323" s="375"/>
      <c r="Y323" s="375"/>
      <c r="Z323" s="375"/>
      <c r="AA323" s="375"/>
      <c r="AB323" s="375"/>
      <c r="AC323" s="396"/>
      <c r="AD323" s="360"/>
      <c r="AE323" s="360"/>
      <c r="AF323" s="360"/>
      <c r="AG323" s="360"/>
      <c r="AH323" s="360"/>
      <c r="AI323" s="360"/>
    </row>
    <row r="324" spans="1:35" hidden="1" x14ac:dyDescent="0.25">
      <c r="A324" s="390"/>
      <c r="B324" s="369"/>
      <c r="C324" s="369"/>
      <c r="D324" s="385" t="s">
        <v>807</v>
      </c>
      <c r="E324" s="382"/>
      <c r="F324" s="383">
        <v>10</v>
      </c>
      <c r="G324" s="384">
        <v>13.5</v>
      </c>
      <c r="H324" s="421"/>
      <c r="I324" s="375"/>
      <c r="J324" s="375"/>
      <c r="K324" s="375"/>
      <c r="L324" s="375">
        <f>Table147[[#This Row],[Ambitious target 2030]]+Table147[[#This Row],[Ambitious target 2030]]*0.5</f>
        <v>0</v>
      </c>
      <c r="M324" s="375"/>
      <c r="N324" s="375"/>
      <c r="O324" s="375"/>
      <c r="P324" s="375"/>
      <c r="Q324" s="375">
        <f>Table147[[#This Row],[Red target]]-Table147[[#This Row],[Red target]]*0.5</f>
        <v>0</v>
      </c>
      <c r="R324" s="375"/>
      <c r="S324" s="375"/>
      <c r="T324" s="375"/>
      <c r="U324" s="375"/>
      <c r="V324" s="375"/>
      <c r="W324" s="375"/>
      <c r="X324" s="375"/>
      <c r="Y324" s="375"/>
      <c r="Z324" s="375"/>
      <c r="AA324" s="375"/>
      <c r="AB324" s="375"/>
      <c r="AC324" s="396"/>
      <c r="AD324" s="360"/>
      <c r="AE324" s="360"/>
      <c r="AF324" s="360"/>
      <c r="AG324" s="360"/>
      <c r="AH324" s="360"/>
      <c r="AI324" s="360"/>
    </row>
    <row r="325" spans="1:35" hidden="1" x14ac:dyDescent="0.25">
      <c r="A325" s="390"/>
      <c r="B325" s="369"/>
      <c r="C325" s="369"/>
      <c r="D325" s="385" t="s">
        <v>809</v>
      </c>
      <c r="E325" s="382">
        <v>19.100000000000001</v>
      </c>
      <c r="F325" s="383">
        <v>19.100000000000001</v>
      </c>
      <c r="G325" s="384">
        <v>20.8</v>
      </c>
      <c r="H325" s="421"/>
      <c r="I325" s="375"/>
      <c r="J325" s="375"/>
      <c r="K325" s="375"/>
      <c r="L325" s="375">
        <f>Table147[[#This Row],[Ambitious target 2030]]+Table147[[#This Row],[Ambitious target 2030]]*0.5</f>
        <v>0</v>
      </c>
      <c r="M325" s="375"/>
      <c r="N325" s="375"/>
      <c r="O325" s="375"/>
      <c r="P325" s="375"/>
      <c r="Q325" s="375">
        <f>Table147[[#This Row],[Red target]]-Table147[[#This Row],[Red target]]*0.5</f>
        <v>0</v>
      </c>
      <c r="R325" s="375"/>
      <c r="S325" s="375"/>
      <c r="T325" s="375"/>
      <c r="U325" s="375"/>
      <c r="V325" s="375"/>
      <c r="W325" s="375"/>
      <c r="X325" s="375"/>
      <c r="Y325" s="375"/>
      <c r="Z325" s="375"/>
      <c r="AA325" s="375"/>
      <c r="AB325" s="375"/>
      <c r="AC325" s="396"/>
      <c r="AD325" s="360"/>
      <c r="AE325" s="360"/>
      <c r="AF325" s="360"/>
      <c r="AG325" s="360"/>
      <c r="AH325" s="360"/>
      <c r="AI325" s="360"/>
    </row>
    <row r="326" spans="1:35" s="386" customFormat="1" hidden="1" x14ac:dyDescent="0.25">
      <c r="A326" s="409"/>
      <c r="B326" s="406"/>
      <c r="C326" s="406"/>
      <c r="D326" s="406"/>
      <c r="E326" s="407">
        <v>2015</v>
      </c>
      <c r="F326" s="407">
        <v>2016</v>
      </c>
      <c r="G326" s="407">
        <v>2017</v>
      </c>
      <c r="H326" s="407"/>
      <c r="I326" s="407"/>
      <c r="J326" s="407"/>
      <c r="K326" s="407"/>
      <c r="L326" s="407">
        <f>Table147[[#This Row],[Ambitious target 2030]]+Table147[[#This Row],[Ambitious target 2030]]*0.5</f>
        <v>0</v>
      </c>
      <c r="M326" s="407"/>
      <c r="N326" s="407"/>
      <c r="O326" s="407"/>
      <c r="P326" s="407"/>
      <c r="Q326" s="407">
        <f>Table147[[#This Row],[Red target]]-Table147[[#This Row],[Red target]]*0.5</f>
        <v>0</v>
      </c>
      <c r="R326" s="407"/>
      <c r="S326" s="407"/>
      <c r="T326" s="407"/>
      <c r="U326" s="407"/>
      <c r="V326" s="407"/>
      <c r="W326" s="407"/>
      <c r="X326" s="407"/>
      <c r="Y326" s="407"/>
      <c r="Z326" s="407"/>
      <c r="AA326" s="407"/>
      <c r="AB326" s="407"/>
      <c r="AC326" s="413"/>
    </row>
    <row r="327" spans="1:35" hidden="1" x14ac:dyDescent="0.25">
      <c r="A327" s="418" t="s">
        <v>601</v>
      </c>
      <c r="B327" s="437" t="s">
        <v>828</v>
      </c>
      <c r="C327" s="437" t="s">
        <v>1038</v>
      </c>
      <c r="D327" s="436" t="s">
        <v>904</v>
      </c>
      <c r="E327" s="420">
        <f>42290.37*0.4365</f>
        <v>18459.746505000003</v>
      </c>
      <c r="F327" s="420">
        <f>44294.649*0.4365</f>
        <v>19334.614288499997</v>
      </c>
      <c r="G327" s="420">
        <f>45451.398*0.4365</f>
        <v>19839.535227</v>
      </c>
      <c r="H327" s="421">
        <v>2015</v>
      </c>
      <c r="I327" s="421">
        <v>18459.746505000003</v>
      </c>
      <c r="J327" s="421">
        <v>2015</v>
      </c>
      <c r="K327" s="411">
        <v>20339.8</v>
      </c>
      <c r="L327" s="411">
        <f>Table147[[#This Row],[Ambitious target 2030]]-Table147[[#This Row],[Ambitious target 2030]]*0.5</f>
        <v>6460.911276750001</v>
      </c>
      <c r="M327" s="427">
        <f>Table147[[#This Row],[Data reference value]]+Table147[[#This Row],[Data reference value]]*Table147[[#This Row],[Ambitious target improvement rate 2030]]</f>
        <v>12921.822553500002</v>
      </c>
      <c r="N327" s="427">
        <v>-0.3</v>
      </c>
      <c r="O327" s="421">
        <f>(Table147[[#This Row],[Ambitious target 2030]]-Table147[[#This Row],[Model reference value]])*0.5+Table147[[#This Row],[Model reference value]]</f>
        <v>16630.811276749999</v>
      </c>
      <c r="P327" s="421"/>
      <c r="Q327" s="421">
        <f>Table147[[#This Row],[Red target]]+Table147[[#This Row],[Red target]]*0.5</f>
        <v>30509.699999999997</v>
      </c>
      <c r="R327" s="421"/>
      <c r="S327" s="421"/>
      <c r="T327" s="421"/>
      <c r="U327" s="421"/>
      <c r="V327" s="421"/>
      <c r="W327" s="421"/>
      <c r="X327" s="421"/>
      <c r="Y327" s="421"/>
      <c r="Z327" s="421">
        <f>Table147[[#This Row],[Model reference value]]</f>
        <v>20339.8</v>
      </c>
      <c r="AA327" s="421" t="s">
        <v>1140</v>
      </c>
      <c r="AB327" s="421" t="s">
        <v>1095</v>
      </c>
      <c r="AC327" s="419" t="s">
        <v>846</v>
      </c>
      <c r="AD327" s="371" t="s">
        <v>934</v>
      </c>
      <c r="AE327" s="360"/>
      <c r="AF327" s="360"/>
      <c r="AG327" s="360"/>
      <c r="AH327" s="360"/>
      <c r="AI327" s="360"/>
    </row>
    <row r="328" spans="1:35" hidden="1" x14ac:dyDescent="0.25">
      <c r="A328" s="390"/>
      <c r="B328" s="369"/>
      <c r="C328" s="369"/>
      <c r="D328" s="369"/>
      <c r="E328" s="379"/>
      <c r="F328" s="380"/>
      <c r="G328" s="381"/>
      <c r="H328" s="421"/>
      <c r="I328" s="375"/>
      <c r="J328" s="375"/>
      <c r="K328" s="375"/>
      <c r="L328" s="375">
        <f>Table147[[#This Row],[Ambitious target 2030]]+Table147[[#This Row],[Ambitious target 2030]]*0.5</f>
        <v>0</v>
      </c>
      <c r="M328" s="375"/>
      <c r="N328" s="375"/>
      <c r="O328" s="375"/>
      <c r="P328" s="375"/>
      <c r="Q328" s="375">
        <f>Table147[[#This Row],[Red target]]-Table147[[#This Row],[Red target]]*0.5</f>
        <v>0</v>
      </c>
      <c r="R328" s="375"/>
      <c r="S328" s="375"/>
      <c r="T328" s="375"/>
      <c r="U328" s="375"/>
      <c r="V328" s="375"/>
      <c r="W328" s="375"/>
      <c r="X328" s="375"/>
      <c r="Y328" s="375"/>
      <c r="Z328" s="375"/>
      <c r="AA328" s="375"/>
      <c r="AB328" s="375"/>
      <c r="AC328" s="396"/>
      <c r="AD328" s="360"/>
      <c r="AE328" s="360"/>
      <c r="AF328" s="360"/>
      <c r="AG328" s="360"/>
      <c r="AH328" s="360"/>
      <c r="AI328" s="360"/>
    </row>
    <row r="329" spans="1:35" hidden="1" x14ac:dyDescent="0.25">
      <c r="A329" s="390"/>
      <c r="B329" s="369"/>
      <c r="C329" s="369"/>
      <c r="D329" s="369"/>
      <c r="E329" s="379"/>
      <c r="F329" s="380"/>
      <c r="G329" s="381"/>
      <c r="H329" s="421"/>
      <c r="I329" s="375"/>
      <c r="J329" s="375"/>
      <c r="K329" s="375"/>
      <c r="L329" s="375">
        <f>Table147[[#This Row],[Ambitious target 2030]]+Table147[[#This Row],[Ambitious target 2030]]*0.5</f>
        <v>0</v>
      </c>
      <c r="M329" s="375"/>
      <c r="N329" s="375"/>
      <c r="O329" s="375"/>
      <c r="P329" s="375"/>
      <c r="Q329" s="375">
        <f>Table147[[#This Row],[Red target]]-Table147[[#This Row],[Red target]]*0.5</f>
        <v>0</v>
      </c>
      <c r="R329" s="375"/>
      <c r="S329" s="375"/>
      <c r="T329" s="375"/>
      <c r="U329" s="375"/>
      <c r="V329" s="375"/>
      <c r="W329" s="375"/>
      <c r="X329" s="375"/>
      <c r="Y329" s="375"/>
      <c r="Z329" s="375"/>
      <c r="AA329" s="375"/>
      <c r="AB329" s="375"/>
      <c r="AC329" s="396"/>
      <c r="AD329" s="360"/>
      <c r="AE329" s="360"/>
      <c r="AF329" s="360"/>
      <c r="AG329" s="360"/>
      <c r="AH329" s="360"/>
      <c r="AI329" s="360"/>
    </row>
    <row r="330" spans="1:35" hidden="1" x14ac:dyDescent="0.25">
      <c r="A330" s="390"/>
      <c r="B330" s="369"/>
      <c r="C330" s="369"/>
      <c r="D330" s="369"/>
      <c r="E330" s="379"/>
      <c r="F330" s="380"/>
      <c r="G330" s="381"/>
      <c r="H330" s="421"/>
      <c r="I330" s="375"/>
      <c r="J330" s="375"/>
      <c r="K330" s="375"/>
      <c r="L330" s="375">
        <f>Table147[[#This Row],[Ambitious target 2030]]+Table147[[#This Row],[Ambitious target 2030]]*0.5</f>
        <v>0</v>
      </c>
      <c r="M330" s="375"/>
      <c r="N330" s="375"/>
      <c r="O330" s="375"/>
      <c r="P330" s="375"/>
      <c r="Q330" s="375">
        <f>Table147[[#This Row],[Red target]]-Table147[[#This Row],[Red target]]*0.5</f>
        <v>0</v>
      </c>
      <c r="R330" s="375"/>
      <c r="S330" s="375"/>
      <c r="T330" s="375"/>
      <c r="U330" s="375"/>
      <c r="V330" s="375"/>
      <c r="W330" s="375"/>
      <c r="X330" s="375"/>
      <c r="Y330" s="375"/>
      <c r="Z330" s="375"/>
      <c r="AA330" s="375"/>
      <c r="AB330" s="375"/>
      <c r="AC330" s="396"/>
      <c r="AD330" s="360"/>
      <c r="AE330" s="360"/>
      <c r="AF330" s="360"/>
      <c r="AG330" s="360"/>
      <c r="AH330" s="360"/>
      <c r="AI330" s="360"/>
    </row>
    <row r="331" spans="1:35" hidden="1" x14ac:dyDescent="0.25">
      <c r="A331" s="390"/>
      <c r="B331" s="369"/>
      <c r="C331" s="369"/>
      <c r="D331" s="369"/>
      <c r="E331" s="379"/>
      <c r="F331" s="380"/>
      <c r="G331" s="381"/>
      <c r="H331" s="421"/>
      <c r="I331" s="375"/>
      <c r="J331" s="375"/>
      <c r="K331" s="375"/>
      <c r="L331" s="375">
        <f>Table147[[#This Row],[Ambitious target 2030]]+Table147[[#This Row],[Ambitious target 2030]]*0.5</f>
        <v>0</v>
      </c>
      <c r="M331" s="375"/>
      <c r="N331" s="375"/>
      <c r="O331" s="375"/>
      <c r="P331" s="375"/>
      <c r="Q331" s="375">
        <f>Table147[[#This Row],[Red target]]-Table147[[#This Row],[Red target]]*0.5</f>
        <v>0</v>
      </c>
      <c r="R331" s="375"/>
      <c r="S331" s="375"/>
      <c r="T331" s="375"/>
      <c r="U331" s="375"/>
      <c r="V331" s="375"/>
      <c r="W331" s="375"/>
      <c r="X331" s="375"/>
      <c r="Y331" s="375"/>
      <c r="Z331" s="375"/>
      <c r="AA331" s="375"/>
      <c r="AB331" s="375"/>
      <c r="AC331" s="396"/>
      <c r="AD331" s="360"/>
      <c r="AE331" s="360"/>
      <c r="AF331" s="360"/>
      <c r="AG331" s="360"/>
      <c r="AH331" s="360"/>
      <c r="AI331" s="360"/>
    </row>
    <row r="332" spans="1:35" hidden="1" x14ac:dyDescent="0.25">
      <c r="A332" s="390"/>
      <c r="B332" s="369"/>
      <c r="C332" s="369"/>
      <c r="D332" s="369"/>
      <c r="E332" s="379"/>
      <c r="F332" s="380"/>
      <c r="G332" s="381"/>
      <c r="H332" s="421"/>
      <c r="I332" s="375"/>
      <c r="J332" s="375"/>
      <c r="K332" s="375"/>
      <c r="L332" s="375">
        <f>Table147[[#This Row],[Ambitious target 2030]]+Table147[[#This Row],[Ambitious target 2030]]*0.5</f>
        <v>0</v>
      </c>
      <c r="M332" s="375"/>
      <c r="N332" s="375"/>
      <c r="O332" s="375"/>
      <c r="P332" s="375"/>
      <c r="Q332" s="375">
        <f>Table147[[#This Row],[Red target]]-Table147[[#This Row],[Red target]]*0.5</f>
        <v>0</v>
      </c>
      <c r="R332" s="375"/>
      <c r="S332" s="375"/>
      <c r="T332" s="375"/>
      <c r="U332" s="375"/>
      <c r="V332" s="375"/>
      <c r="W332" s="375"/>
      <c r="X332" s="375"/>
      <c r="Y332" s="375"/>
      <c r="Z332" s="375"/>
      <c r="AA332" s="375"/>
      <c r="AB332" s="375"/>
      <c r="AC332" s="396"/>
      <c r="AD332" s="360"/>
      <c r="AE332" s="360"/>
      <c r="AF332" s="360"/>
      <c r="AG332" s="360"/>
      <c r="AH332" s="360"/>
      <c r="AI332" s="360"/>
    </row>
    <row r="333" spans="1:35" hidden="1" x14ac:dyDescent="0.25">
      <c r="A333" s="390"/>
      <c r="B333" s="369"/>
      <c r="C333" s="369"/>
      <c r="D333" s="369"/>
      <c r="E333" s="382"/>
      <c r="F333" s="383"/>
      <c r="G333" s="384"/>
      <c r="H333" s="421"/>
      <c r="I333" s="375"/>
      <c r="J333" s="375"/>
      <c r="K333" s="375"/>
      <c r="L333" s="375">
        <f>Table147[[#This Row],[Ambitious target 2030]]+Table147[[#This Row],[Ambitious target 2030]]*0.5</f>
        <v>0</v>
      </c>
      <c r="M333" s="375"/>
      <c r="N333" s="375"/>
      <c r="O333" s="375"/>
      <c r="P333" s="375"/>
      <c r="Q333" s="375">
        <f>Table147[[#This Row],[Red target]]-Table147[[#This Row],[Red target]]*0.5</f>
        <v>0</v>
      </c>
      <c r="R333" s="375"/>
      <c r="S333" s="375"/>
      <c r="T333" s="375"/>
      <c r="U333" s="375"/>
      <c r="V333" s="375"/>
      <c r="W333" s="375"/>
      <c r="X333" s="375"/>
      <c r="Y333" s="375"/>
      <c r="Z333" s="375"/>
      <c r="AA333" s="375"/>
      <c r="AB333" s="375"/>
      <c r="AC333" s="396"/>
      <c r="AD333" s="360"/>
      <c r="AE333" s="360"/>
      <c r="AF333" s="360"/>
      <c r="AG333" s="360"/>
      <c r="AH333" s="360"/>
      <c r="AI333" s="360"/>
    </row>
    <row r="334" spans="1:35" hidden="1" x14ac:dyDescent="0.25">
      <c r="A334" s="390"/>
      <c r="B334" s="369"/>
      <c r="C334" s="369"/>
      <c r="D334" s="369"/>
      <c r="E334" s="382"/>
      <c r="F334" s="383"/>
      <c r="G334" s="384"/>
      <c r="H334" s="421"/>
      <c r="I334" s="375"/>
      <c r="J334" s="375"/>
      <c r="K334" s="375"/>
      <c r="L334" s="375">
        <f>Table147[[#This Row],[Ambitious target 2030]]+Table147[[#This Row],[Ambitious target 2030]]*0.5</f>
        <v>0</v>
      </c>
      <c r="M334" s="375"/>
      <c r="N334" s="375"/>
      <c r="O334" s="375"/>
      <c r="P334" s="375"/>
      <c r="Q334" s="375">
        <f>Table147[[#This Row],[Red target]]-Table147[[#This Row],[Red target]]*0.5</f>
        <v>0</v>
      </c>
      <c r="R334" s="375"/>
      <c r="S334" s="375"/>
      <c r="T334" s="375"/>
      <c r="U334" s="375"/>
      <c r="V334" s="375"/>
      <c r="W334" s="375"/>
      <c r="X334" s="375"/>
      <c r="Y334" s="375"/>
      <c r="Z334" s="375"/>
      <c r="AA334" s="375"/>
      <c r="AB334" s="375"/>
      <c r="AC334" s="396"/>
      <c r="AD334" s="360"/>
      <c r="AE334" s="360"/>
      <c r="AF334" s="360"/>
      <c r="AG334" s="360"/>
      <c r="AH334" s="360"/>
      <c r="AI334" s="360"/>
    </row>
    <row r="335" spans="1:35" hidden="1" x14ac:dyDescent="0.25">
      <c r="A335" s="390"/>
      <c r="B335" s="369"/>
      <c r="C335" s="369"/>
      <c r="D335" s="369"/>
      <c r="E335" s="382"/>
      <c r="F335" s="383"/>
      <c r="G335" s="384"/>
      <c r="H335" s="421"/>
      <c r="I335" s="375"/>
      <c r="J335" s="375"/>
      <c r="K335" s="375"/>
      <c r="L335" s="375">
        <f>Table147[[#This Row],[Ambitious target 2030]]+Table147[[#This Row],[Ambitious target 2030]]*0.5</f>
        <v>0</v>
      </c>
      <c r="M335" s="375"/>
      <c r="N335" s="375"/>
      <c r="O335" s="375"/>
      <c r="P335" s="375"/>
      <c r="Q335" s="375">
        <f>Table147[[#This Row],[Red target]]-Table147[[#This Row],[Red target]]*0.5</f>
        <v>0</v>
      </c>
      <c r="R335" s="375"/>
      <c r="S335" s="375"/>
      <c r="T335" s="375"/>
      <c r="U335" s="375"/>
      <c r="V335" s="375"/>
      <c r="W335" s="375"/>
      <c r="X335" s="375"/>
      <c r="Y335" s="375"/>
      <c r="Z335" s="375"/>
      <c r="AA335" s="375"/>
      <c r="AB335" s="375"/>
      <c r="AC335" s="396"/>
      <c r="AD335" s="360"/>
      <c r="AE335" s="360"/>
      <c r="AF335" s="360"/>
      <c r="AG335" s="360"/>
      <c r="AH335" s="360"/>
      <c r="AI335" s="360"/>
    </row>
    <row r="336" spans="1:35" hidden="1" x14ac:dyDescent="0.25">
      <c r="A336" s="390"/>
      <c r="B336" s="369"/>
      <c r="C336" s="369"/>
      <c r="D336" s="369"/>
      <c r="E336" s="382"/>
      <c r="F336" s="383"/>
      <c r="G336" s="384"/>
      <c r="H336" s="421"/>
      <c r="I336" s="375"/>
      <c r="J336" s="375"/>
      <c r="K336" s="375"/>
      <c r="L336" s="375">
        <f>Table147[[#This Row],[Ambitious target 2030]]+Table147[[#This Row],[Ambitious target 2030]]*0.5</f>
        <v>0</v>
      </c>
      <c r="M336" s="375"/>
      <c r="N336" s="375"/>
      <c r="O336" s="375"/>
      <c r="P336" s="375"/>
      <c r="Q336" s="375">
        <f>Table147[[#This Row],[Red target]]-Table147[[#This Row],[Red target]]*0.5</f>
        <v>0</v>
      </c>
      <c r="R336" s="375"/>
      <c r="S336" s="375"/>
      <c r="T336" s="375"/>
      <c r="U336" s="375"/>
      <c r="V336" s="375"/>
      <c r="W336" s="375"/>
      <c r="X336" s="375"/>
      <c r="Y336" s="375"/>
      <c r="Z336" s="375"/>
      <c r="AA336" s="375"/>
      <c r="AB336" s="375"/>
      <c r="AC336" s="396"/>
      <c r="AD336" s="360"/>
      <c r="AE336" s="360"/>
      <c r="AF336" s="360"/>
      <c r="AG336" s="360"/>
      <c r="AH336" s="360"/>
      <c r="AI336" s="360"/>
    </row>
    <row r="337" spans="1:35" hidden="1" x14ac:dyDescent="0.25">
      <c r="A337" s="390"/>
      <c r="B337" s="369"/>
      <c r="C337" s="369"/>
      <c r="D337" s="369"/>
      <c r="E337" s="382"/>
      <c r="F337" s="383"/>
      <c r="G337" s="384"/>
      <c r="H337" s="421"/>
      <c r="I337" s="375"/>
      <c r="J337" s="375"/>
      <c r="K337" s="375"/>
      <c r="L337" s="375">
        <f>Table147[[#This Row],[Ambitious target 2030]]+Table147[[#This Row],[Ambitious target 2030]]*0.5</f>
        <v>0</v>
      </c>
      <c r="M337" s="375"/>
      <c r="N337" s="375"/>
      <c r="O337" s="375"/>
      <c r="P337" s="375"/>
      <c r="Q337" s="375">
        <f>Table147[[#This Row],[Red target]]-Table147[[#This Row],[Red target]]*0.5</f>
        <v>0</v>
      </c>
      <c r="R337" s="375"/>
      <c r="S337" s="375"/>
      <c r="T337" s="375"/>
      <c r="U337" s="375"/>
      <c r="V337" s="375"/>
      <c r="W337" s="375"/>
      <c r="X337" s="375"/>
      <c r="Y337" s="375"/>
      <c r="Z337" s="375"/>
      <c r="AA337" s="375"/>
      <c r="AB337" s="375"/>
      <c r="AC337" s="396"/>
      <c r="AD337" s="360"/>
      <c r="AE337" s="360"/>
      <c r="AF337" s="360"/>
      <c r="AG337" s="360"/>
      <c r="AH337" s="360"/>
      <c r="AI337" s="360"/>
    </row>
    <row r="338" spans="1:35" s="386" customFormat="1" hidden="1" x14ac:dyDescent="0.25">
      <c r="A338" s="409"/>
      <c r="B338" s="406"/>
      <c r="C338" s="406"/>
      <c r="D338" s="406"/>
      <c r="E338" s="406">
        <v>2015</v>
      </c>
      <c r="F338" s="406">
        <v>2016</v>
      </c>
      <c r="G338" s="406">
        <v>2017</v>
      </c>
      <c r="H338" s="406"/>
      <c r="I338" s="406"/>
      <c r="J338" s="406"/>
      <c r="K338" s="406"/>
      <c r="L338" s="406">
        <f>Table147[[#This Row],[Ambitious target 2030]]+Table147[[#This Row],[Ambitious target 2030]]*0.5</f>
        <v>0</v>
      </c>
      <c r="M338" s="406"/>
      <c r="N338" s="406"/>
      <c r="O338" s="406"/>
      <c r="P338" s="406"/>
      <c r="Q338" s="406">
        <f>Table147[[#This Row],[Red target]]-Table147[[#This Row],[Red target]]*0.5</f>
        <v>0</v>
      </c>
      <c r="R338" s="406"/>
      <c r="S338" s="406"/>
      <c r="T338" s="406"/>
      <c r="U338" s="406"/>
      <c r="V338" s="406"/>
      <c r="W338" s="406"/>
      <c r="X338" s="406"/>
      <c r="Y338" s="406"/>
      <c r="Z338" s="406"/>
      <c r="AA338" s="406"/>
      <c r="AB338" s="406"/>
      <c r="AC338" s="413"/>
    </row>
    <row r="339" spans="1:35" x14ac:dyDescent="0.25">
      <c r="A339" s="418" t="s">
        <v>831</v>
      </c>
      <c r="B339" s="437" t="s">
        <v>830</v>
      </c>
      <c r="C339" s="437" t="s">
        <v>667</v>
      </c>
      <c r="D339" s="436" t="s">
        <v>799</v>
      </c>
      <c r="E339" s="420">
        <v>5.6833</v>
      </c>
      <c r="F339" s="420">
        <v>5.3004074074074081</v>
      </c>
      <c r="G339" s="420">
        <v>5.7963461538461543</v>
      </c>
      <c r="H339" s="421">
        <v>2015</v>
      </c>
      <c r="I339" s="421">
        <v>5.6833</v>
      </c>
      <c r="J339" s="421">
        <v>2015</v>
      </c>
      <c r="K339" s="411">
        <v>9.7214799999999997</v>
      </c>
      <c r="L339" s="411">
        <f>Table147[[#This Row],[Ambitious target 2030]]-Table147[[#This Row],[Ambitious target 2030]]*0.5</f>
        <v>2.84165</v>
      </c>
      <c r="M339" s="421">
        <v>5.6833</v>
      </c>
      <c r="N339" s="422"/>
      <c r="O339" s="421">
        <f>(Table147[[#This Row],[Ambitious target 2030]]-Table147[[#This Row],[Model reference value]])*0.5+Table147[[#This Row],[Model reference value]]</f>
        <v>7.7023899999999994</v>
      </c>
      <c r="P339" s="421"/>
      <c r="Q339" s="421">
        <f>Table147[[#This Row],[Red target]]+Table147[[#This Row],[Red target]]*0.5</f>
        <v>14.58222</v>
      </c>
      <c r="R339" s="421"/>
      <c r="S339" s="421"/>
      <c r="T339" s="421"/>
      <c r="U339" s="421"/>
      <c r="V339" s="421"/>
      <c r="W339" s="421"/>
      <c r="X339" s="421"/>
      <c r="Y339" s="421"/>
      <c r="Z339" s="421">
        <f>Table147[[#This Row],[Model reference value]]</f>
        <v>9.7214799999999997</v>
      </c>
      <c r="AA339" s="421" t="s">
        <v>978</v>
      </c>
      <c r="AB339" s="421" t="s">
        <v>1160</v>
      </c>
      <c r="AC339" s="419" t="s">
        <v>822</v>
      </c>
      <c r="AD339" s="360" t="s">
        <v>823</v>
      </c>
      <c r="AE339" s="360"/>
      <c r="AF339" s="360"/>
      <c r="AG339" s="360"/>
      <c r="AH339" s="360"/>
      <c r="AI339" s="360"/>
    </row>
    <row r="340" spans="1:35" hidden="1" x14ac:dyDescent="0.25">
      <c r="A340" s="390"/>
      <c r="B340" s="369"/>
      <c r="C340" s="369"/>
      <c r="D340" s="378" t="s">
        <v>715</v>
      </c>
      <c r="E340" s="379">
        <v>58.088999999999999</v>
      </c>
      <c r="F340" s="380">
        <v>56.792999999999999</v>
      </c>
      <c r="G340" s="381">
        <v>57.323999999999998</v>
      </c>
      <c r="H340" s="421">
        <v>2017</v>
      </c>
      <c r="I340" s="375">
        <v>57.323999999999998</v>
      </c>
      <c r="J340" s="375"/>
      <c r="K340" s="375"/>
      <c r="L340" s="375">
        <f>Table147[[#This Row],[Ambitious target 2030]]+Table147[[#This Row],[Ambitious target 2030]]*0.5</f>
        <v>0</v>
      </c>
      <c r="M340" s="375"/>
      <c r="N340" s="375"/>
      <c r="O340" s="375"/>
      <c r="P340" s="375"/>
      <c r="Q340" s="375">
        <f>Table147[[#This Row],[Red target]]-Table147[[#This Row],[Red target]]*0.5</f>
        <v>0</v>
      </c>
      <c r="R340" s="375"/>
      <c r="S340" s="375"/>
      <c r="T340" s="375"/>
      <c r="U340" s="375"/>
      <c r="V340" s="375"/>
      <c r="W340" s="375"/>
      <c r="X340" s="375"/>
      <c r="Y340" s="375"/>
      <c r="Z340" s="375"/>
      <c r="AA340" s="375"/>
      <c r="AB340" s="375"/>
      <c r="AC340" s="396"/>
      <c r="AD340" s="360"/>
      <c r="AE340" s="360"/>
      <c r="AF340" s="360"/>
      <c r="AG340" s="360"/>
      <c r="AH340" s="360"/>
      <c r="AI340" s="360"/>
    </row>
    <row r="341" spans="1:35" hidden="1" x14ac:dyDescent="0.25">
      <c r="A341" s="390"/>
      <c r="B341" s="369"/>
      <c r="C341" s="369"/>
      <c r="D341" s="378" t="s">
        <v>771</v>
      </c>
      <c r="E341" s="379">
        <v>41.774000000000001</v>
      </c>
      <c r="F341" s="380">
        <v>46.052999999999997</v>
      </c>
      <c r="G341" s="381">
        <v>45.892000000000003</v>
      </c>
      <c r="H341" s="421">
        <v>2017</v>
      </c>
      <c r="I341" s="375">
        <v>45.892000000000003</v>
      </c>
      <c r="J341" s="375"/>
      <c r="K341" s="375"/>
      <c r="L341" s="375">
        <f>Table147[[#This Row],[Ambitious target 2030]]+Table147[[#This Row],[Ambitious target 2030]]*0.5</f>
        <v>0</v>
      </c>
      <c r="M341" s="375"/>
      <c r="N341" s="375"/>
      <c r="O341" s="375"/>
      <c r="P341" s="375"/>
      <c r="Q341" s="375">
        <f>Table147[[#This Row],[Red target]]-Table147[[#This Row],[Red target]]*0.5</f>
        <v>0</v>
      </c>
      <c r="R341" s="375"/>
      <c r="S341" s="375"/>
      <c r="T341" s="375"/>
      <c r="U341" s="375"/>
      <c r="V341" s="375"/>
      <c r="W341" s="375"/>
      <c r="X341" s="375"/>
      <c r="Y341" s="375"/>
      <c r="Z341" s="375"/>
      <c r="AA341" s="375"/>
      <c r="AB341" s="375"/>
      <c r="AC341" s="396"/>
      <c r="AD341" s="360"/>
      <c r="AE341" s="360"/>
      <c r="AF341" s="360"/>
      <c r="AG341" s="360"/>
      <c r="AH341" s="360"/>
      <c r="AI341" s="360"/>
    </row>
    <row r="342" spans="1:35" hidden="1" x14ac:dyDescent="0.25">
      <c r="A342" s="390"/>
      <c r="B342" s="369"/>
      <c r="C342" s="369"/>
      <c r="D342" s="378" t="s">
        <v>682</v>
      </c>
      <c r="E342" s="379">
        <v>8.4740000000000002</v>
      </c>
      <c r="F342" s="380">
        <v>7.7779999999999996</v>
      </c>
      <c r="G342" s="381">
        <v>9.1319999999999997</v>
      </c>
      <c r="H342" s="421">
        <v>2017</v>
      </c>
      <c r="I342" s="375">
        <v>9.1319999999999997</v>
      </c>
      <c r="J342" s="375"/>
      <c r="K342" s="375"/>
      <c r="L342" s="375">
        <f>Table147[[#This Row],[Ambitious target 2030]]+Table147[[#This Row],[Ambitious target 2030]]*0.5</f>
        <v>0</v>
      </c>
      <c r="M342" s="375"/>
      <c r="N342" s="375"/>
      <c r="O342" s="375"/>
      <c r="P342" s="375"/>
      <c r="Q342" s="375">
        <f>Table147[[#This Row],[Red target]]-Table147[[#This Row],[Red target]]*0.5</f>
        <v>0</v>
      </c>
      <c r="R342" s="375"/>
      <c r="S342" s="375"/>
      <c r="T342" s="375"/>
      <c r="U342" s="375"/>
      <c r="V342" s="375"/>
      <c r="W342" s="375"/>
      <c r="X342" s="375"/>
      <c r="Y342" s="375"/>
      <c r="Z342" s="375"/>
      <c r="AA342" s="375"/>
      <c r="AB342" s="375"/>
      <c r="AC342" s="396"/>
      <c r="AD342" s="360"/>
      <c r="AE342" s="360"/>
      <c r="AF342" s="360"/>
      <c r="AG342" s="360"/>
      <c r="AH342" s="360"/>
      <c r="AI342" s="360"/>
    </row>
    <row r="343" spans="1:35" hidden="1" x14ac:dyDescent="0.25">
      <c r="A343" s="390"/>
      <c r="B343" s="369"/>
      <c r="C343" s="369"/>
      <c r="D343" s="378" t="s">
        <v>832</v>
      </c>
      <c r="E343" s="379">
        <v>6.2329999999999997</v>
      </c>
      <c r="F343" s="380">
        <v>8.7780000000000005</v>
      </c>
      <c r="G343" s="381">
        <v>9.0090000000000003</v>
      </c>
      <c r="H343" s="421">
        <v>2017</v>
      </c>
      <c r="I343" s="375">
        <v>9.0090000000000003</v>
      </c>
      <c r="J343" s="375"/>
      <c r="K343" s="375"/>
      <c r="L343" s="375">
        <f>Table147[[#This Row],[Ambitious target 2030]]+Table147[[#This Row],[Ambitious target 2030]]*0.5</f>
        <v>0</v>
      </c>
      <c r="M343" s="375"/>
      <c r="N343" s="375"/>
      <c r="O343" s="375"/>
      <c r="P343" s="375"/>
      <c r="Q343" s="375">
        <f>Table147[[#This Row],[Red target]]-Table147[[#This Row],[Red target]]*0.5</f>
        <v>0</v>
      </c>
      <c r="R343" s="375"/>
      <c r="S343" s="375"/>
      <c r="T343" s="375"/>
      <c r="U343" s="375"/>
      <c r="V343" s="375"/>
      <c r="W343" s="375"/>
      <c r="X343" s="375"/>
      <c r="Y343" s="375"/>
      <c r="Z343" s="375"/>
      <c r="AA343" s="375"/>
      <c r="AB343" s="375"/>
      <c r="AC343" s="396"/>
      <c r="AD343" s="360"/>
      <c r="AE343" s="360"/>
      <c r="AF343" s="360"/>
      <c r="AG343" s="360"/>
      <c r="AH343" s="360"/>
      <c r="AI343" s="360"/>
    </row>
    <row r="344" spans="1:35" hidden="1" x14ac:dyDescent="0.25">
      <c r="A344" s="390"/>
      <c r="B344" s="369"/>
      <c r="C344" s="369"/>
      <c r="D344" s="378" t="s">
        <v>669</v>
      </c>
      <c r="E344" s="379">
        <v>4</v>
      </c>
      <c r="F344" s="380">
        <v>4</v>
      </c>
      <c r="G344" s="381">
        <v>6</v>
      </c>
      <c r="H344" s="421">
        <v>2017</v>
      </c>
      <c r="I344" s="375">
        <v>6</v>
      </c>
      <c r="J344" s="375"/>
      <c r="K344" s="375"/>
      <c r="L344" s="375">
        <f>Table147[[#This Row],[Ambitious target 2030]]+Table147[[#This Row],[Ambitious target 2030]]*0.5</f>
        <v>0</v>
      </c>
      <c r="M344" s="375"/>
      <c r="N344" s="375"/>
      <c r="O344" s="375"/>
      <c r="P344" s="375"/>
      <c r="Q344" s="375">
        <f>Table147[[#This Row],[Red target]]-Table147[[#This Row],[Red target]]*0.5</f>
        <v>0</v>
      </c>
      <c r="R344" s="375"/>
      <c r="S344" s="375"/>
      <c r="T344" s="375"/>
      <c r="U344" s="375"/>
      <c r="V344" s="375"/>
      <c r="W344" s="375"/>
      <c r="X344" s="375"/>
      <c r="Y344" s="375"/>
      <c r="Z344" s="375"/>
      <c r="AA344" s="375"/>
      <c r="AB344" s="375"/>
      <c r="AC344" s="396"/>
      <c r="AD344" s="360"/>
      <c r="AE344" s="360"/>
      <c r="AF344" s="360"/>
      <c r="AG344" s="360"/>
      <c r="AH344" s="360"/>
      <c r="AI344" s="360"/>
    </row>
    <row r="345" spans="1:35" hidden="1" x14ac:dyDescent="0.25">
      <c r="A345" s="390"/>
      <c r="B345" s="369"/>
      <c r="C345" s="369"/>
      <c r="D345" s="378" t="s">
        <v>772</v>
      </c>
      <c r="E345" s="382">
        <v>0.192</v>
      </c>
      <c r="F345" s="383">
        <v>-0.19700000000000001</v>
      </c>
      <c r="G345" s="384">
        <v>-0.57399999999999995</v>
      </c>
      <c r="H345" s="421">
        <v>2017</v>
      </c>
      <c r="I345" s="375">
        <v>-0.57399999999999995</v>
      </c>
      <c r="J345" s="375"/>
      <c r="K345" s="375"/>
      <c r="L345" s="375">
        <f>Table147[[#This Row],[Ambitious target 2030]]+Table147[[#This Row],[Ambitious target 2030]]*0.5</f>
        <v>0</v>
      </c>
      <c r="M345" s="375"/>
      <c r="N345" s="375"/>
      <c r="O345" s="375"/>
      <c r="P345" s="375"/>
      <c r="Q345" s="375">
        <f>Table147[[#This Row],[Red target]]-Table147[[#This Row],[Red target]]*0.5</f>
        <v>0</v>
      </c>
      <c r="R345" s="375"/>
      <c r="S345" s="375"/>
      <c r="T345" s="375"/>
      <c r="U345" s="375"/>
      <c r="V345" s="375"/>
      <c r="W345" s="375"/>
      <c r="X345" s="375"/>
      <c r="Y345" s="375"/>
      <c r="Z345" s="375"/>
      <c r="AA345" s="375"/>
      <c r="AB345" s="375"/>
      <c r="AC345" s="396"/>
      <c r="AD345" s="360"/>
      <c r="AE345" s="360"/>
      <c r="AF345" s="360"/>
      <c r="AG345" s="360"/>
      <c r="AH345" s="360"/>
      <c r="AI345" s="360"/>
    </row>
    <row r="346" spans="1:35" hidden="1" x14ac:dyDescent="0.25">
      <c r="A346" s="390"/>
      <c r="B346" s="369"/>
      <c r="C346" s="369"/>
      <c r="D346" s="378" t="s">
        <v>824</v>
      </c>
      <c r="E346" s="382">
        <v>-1</v>
      </c>
      <c r="F346" s="383">
        <v>-4</v>
      </c>
      <c r="G346" s="384">
        <v>-1</v>
      </c>
      <c r="H346" s="421">
        <v>2017</v>
      </c>
      <c r="I346" s="375">
        <v>-1</v>
      </c>
      <c r="J346" s="375"/>
      <c r="K346" s="375"/>
      <c r="L346" s="375">
        <f>Table147[[#This Row],[Ambitious target 2030]]+Table147[[#This Row],[Ambitious target 2030]]*0.5</f>
        <v>0</v>
      </c>
      <c r="M346" s="375"/>
      <c r="N346" s="375"/>
      <c r="O346" s="375"/>
      <c r="P346" s="375"/>
      <c r="Q346" s="375">
        <f>Table147[[#This Row],[Red target]]-Table147[[#This Row],[Red target]]*0.5</f>
        <v>0</v>
      </c>
      <c r="R346" s="375"/>
      <c r="S346" s="375"/>
      <c r="T346" s="375"/>
      <c r="U346" s="375"/>
      <c r="V346" s="375"/>
      <c r="W346" s="375"/>
      <c r="X346" s="375"/>
      <c r="Y346" s="375"/>
      <c r="Z346" s="375"/>
      <c r="AA346" s="375"/>
      <c r="AB346" s="375"/>
      <c r="AC346" s="396"/>
      <c r="AD346" s="360"/>
      <c r="AE346" s="360"/>
      <c r="AF346" s="360"/>
      <c r="AG346" s="360"/>
      <c r="AH346" s="360"/>
      <c r="AI346" s="360"/>
    </row>
    <row r="347" spans="1:35" hidden="1" x14ac:dyDescent="0.25">
      <c r="A347" s="390"/>
      <c r="B347" s="369"/>
      <c r="C347" s="369"/>
      <c r="D347" s="378" t="s">
        <v>720</v>
      </c>
      <c r="E347" s="382">
        <v>-2</v>
      </c>
      <c r="F347" s="383">
        <v>-3</v>
      </c>
      <c r="G347" s="384">
        <v>-5</v>
      </c>
      <c r="H347" s="421">
        <v>2017</v>
      </c>
      <c r="I347" s="375">
        <v>-5</v>
      </c>
      <c r="J347" s="375"/>
      <c r="K347" s="375"/>
      <c r="L347" s="375">
        <f>Table147[[#This Row],[Ambitious target 2030]]+Table147[[#This Row],[Ambitious target 2030]]*0.5</f>
        <v>0</v>
      </c>
      <c r="M347" s="375"/>
      <c r="N347" s="375"/>
      <c r="O347" s="375"/>
      <c r="P347" s="375"/>
      <c r="Q347" s="375">
        <f>Table147[[#This Row],[Red target]]-Table147[[#This Row],[Red target]]*0.5</f>
        <v>0</v>
      </c>
      <c r="R347" s="375"/>
      <c r="S347" s="375"/>
      <c r="T347" s="375"/>
      <c r="U347" s="375"/>
      <c r="V347" s="375"/>
      <c r="W347" s="375"/>
      <c r="X347" s="375"/>
      <c r="Y347" s="375"/>
      <c r="Z347" s="375"/>
      <c r="AA347" s="375"/>
      <c r="AB347" s="375"/>
      <c r="AC347" s="396"/>
      <c r="AD347" s="360"/>
      <c r="AE347" s="360"/>
      <c r="AF347" s="360"/>
      <c r="AG347" s="360"/>
      <c r="AH347" s="360"/>
      <c r="AI347" s="360"/>
    </row>
    <row r="348" spans="1:35" hidden="1" x14ac:dyDescent="0.25">
      <c r="A348" s="390"/>
      <c r="B348" s="369"/>
      <c r="C348" s="369"/>
      <c r="D348" s="378" t="s">
        <v>827</v>
      </c>
      <c r="E348" s="382">
        <v>-1</v>
      </c>
      <c r="F348" s="383">
        <v>-3</v>
      </c>
      <c r="G348" s="384">
        <v>-5</v>
      </c>
      <c r="H348" s="421">
        <v>2017</v>
      </c>
      <c r="I348" s="375">
        <v>-5</v>
      </c>
      <c r="J348" s="375"/>
      <c r="K348" s="375"/>
      <c r="L348" s="375">
        <f>Table147[[#This Row],[Ambitious target 2030]]+Table147[[#This Row],[Ambitious target 2030]]*0.5</f>
        <v>0</v>
      </c>
      <c r="M348" s="375"/>
      <c r="N348" s="375"/>
      <c r="O348" s="375"/>
      <c r="P348" s="375"/>
      <c r="Q348" s="375">
        <f>Table147[[#This Row],[Red target]]-Table147[[#This Row],[Red target]]*0.5</f>
        <v>0</v>
      </c>
      <c r="R348" s="375"/>
      <c r="S348" s="375"/>
      <c r="T348" s="375"/>
      <c r="U348" s="375"/>
      <c r="V348" s="375"/>
      <c r="W348" s="375"/>
      <c r="X348" s="375"/>
      <c r="Y348" s="375"/>
      <c r="Z348" s="375"/>
      <c r="AA348" s="375"/>
      <c r="AB348" s="375"/>
      <c r="AC348" s="396"/>
      <c r="AD348" s="360"/>
      <c r="AE348" s="360"/>
      <c r="AF348" s="360"/>
      <c r="AG348" s="360"/>
      <c r="AH348" s="360"/>
      <c r="AI348" s="360"/>
    </row>
    <row r="349" spans="1:35" hidden="1" x14ac:dyDescent="0.25">
      <c r="A349" s="390"/>
      <c r="B349" s="369"/>
      <c r="C349" s="369"/>
      <c r="D349" s="378" t="s">
        <v>833</v>
      </c>
      <c r="E349" s="382">
        <v>-5</v>
      </c>
      <c r="F349" s="383">
        <v>-7</v>
      </c>
      <c r="G349" s="384">
        <v>-6</v>
      </c>
      <c r="H349" s="421">
        <v>2017</v>
      </c>
      <c r="I349" s="375">
        <v>-6</v>
      </c>
      <c r="J349" s="375"/>
      <c r="K349" s="375"/>
      <c r="L349" s="375">
        <f>Table147[[#This Row],[Ambitious target 2030]]+Table147[[#This Row],[Ambitious target 2030]]*0.5</f>
        <v>0</v>
      </c>
      <c r="M349" s="375"/>
      <c r="N349" s="375"/>
      <c r="O349" s="375"/>
      <c r="P349" s="375"/>
      <c r="Q349" s="375">
        <f>Table147[[#This Row],[Red target]]-Table147[[#This Row],[Red target]]*0.5</f>
        <v>0</v>
      </c>
      <c r="R349" s="375"/>
      <c r="S349" s="375"/>
      <c r="T349" s="375"/>
      <c r="U349" s="375"/>
      <c r="V349" s="375"/>
      <c r="W349" s="375"/>
      <c r="X349" s="375"/>
      <c r="Y349" s="375"/>
      <c r="Z349" s="375"/>
      <c r="AA349" s="375"/>
      <c r="AB349" s="375"/>
      <c r="AC349" s="396"/>
      <c r="AD349" s="360"/>
      <c r="AE349" s="360"/>
      <c r="AF349" s="360"/>
      <c r="AG349" s="360"/>
      <c r="AH349" s="360"/>
      <c r="AI349" s="360"/>
    </row>
    <row r="350" spans="1:35" s="386" customFormat="1" hidden="1" x14ac:dyDescent="0.25">
      <c r="A350" s="409"/>
      <c r="B350" s="406"/>
      <c r="C350" s="406"/>
      <c r="D350" s="406"/>
      <c r="E350" s="407">
        <v>2012</v>
      </c>
      <c r="F350" s="407">
        <v>2013</v>
      </c>
      <c r="G350" s="407">
        <v>2014</v>
      </c>
      <c r="H350" s="407"/>
      <c r="I350" s="407"/>
      <c r="J350" s="407"/>
      <c r="K350" s="407"/>
      <c r="L350" s="407">
        <f>Table147[[#This Row],[Ambitious target 2030]]+Table147[[#This Row],[Ambitious target 2030]]*0.5</f>
        <v>0</v>
      </c>
      <c r="M350" s="407"/>
      <c r="N350" s="407"/>
      <c r="O350" s="407"/>
      <c r="P350" s="407"/>
      <c r="Q350" s="407">
        <f>Table147[[#This Row],[Red target]]-Table147[[#This Row],[Red target]]*0.5</f>
        <v>0</v>
      </c>
      <c r="R350" s="407"/>
      <c r="S350" s="407"/>
      <c r="T350" s="407"/>
      <c r="U350" s="407"/>
      <c r="V350" s="407"/>
      <c r="W350" s="407"/>
      <c r="X350" s="407"/>
      <c r="Y350" s="407"/>
      <c r="Z350" s="407"/>
      <c r="AA350" s="407"/>
      <c r="AB350" s="407"/>
      <c r="AC350" s="413"/>
    </row>
    <row r="351" spans="1:35" x14ac:dyDescent="0.25">
      <c r="A351" s="418" t="s">
        <v>608</v>
      </c>
      <c r="B351" s="438" t="s">
        <v>1136</v>
      </c>
      <c r="C351" s="437" t="s">
        <v>1137</v>
      </c>
      <c r="D351" s="436" t="s">
        <v>904</v>
      </c>
      <c r="E351" s="420">
        <v>393.01599270000003</v>
      </c>
      <c r="F351" s="420">
        <v>395.72497929999997</v>
      </c>
      <c r="G351" s="420">
        <v>397.5469769</v>
      </c>
      <c r="H351" s="421">
        <v>2014</v>
      </c>
      <c r="I351" s="421">
        <v>397.5469769</v>
      </c>
      <c r="J351" s="421">
        <v>2015</v>
      </c>
      <c r="K351" s="430">
        <v>403.03300000000002</v>
      </c>
      <c r="L351" s="430">
        <f>Table147[[#This Row],[Ambitious target 2030]]-Table147[[#This Row],[Ambitious target 2030]]*0.5</f>
        <v>208.8400294117647</v>
      </c>
      <c r="M351" s="430">
        <f>Table147[[#This Row],[Model reference value]]+((480-397)/85)*15</f>
        <v>417.68005882352941</v>
      </c>
      <c r="N351" s="430"/>
      <c r="O351" s="430">
        <f>Table147[[#This Row],[Model reference value]]+((580-403)/85)*15</f>
        <v>434.26829411764709</v>
      </c>
      <c r="P351" s="430"/>
      <c r="Q351" s="430">
        <f>Table147[[#This Row],[Red target]]+Table147[[#This Row],[Red target]]*0.5</f>
        <v>669.93185294117643</v>
      </c>
      <c r="R351" s="430"/>
      <c r="S351" s="430"/>
      <c r="T351" s="430"/>
      <c r="U351" s="430"/>
      <c r="V351" s="430"/>
      <c r="W351" s="430"/>
      <c r="X351" s="430"/>
      <c r="Y351" s="430"/>
      <c r="Z351" s="430">
        <f>Table147[[#This Row],[Model reference value]]+((650-403)/85)*15</f>
        <v>446.62123529411764</v>
      </c>
      <c r="AA351" s="430" t="s">
        <v>985</v>
      </c>
      <c r="AB351" s="430" t="s">
        <v>1138</v>
      </c>
      <c r="AC351" s="411"/>
      <c r="AD351" s="377" t="s">
        <v>873</v>
      </c>
      <c r="AE351" s="377" t="s">
        <v>874</v>
      </c>
      <c r="AF351" s="360"/>
      <c r="AG351" s="360"/>
      <c r="AH351" s="360"/>
      <c r="AI351" s="360"/>
    </row>
    <row r="352" spans="1:35" hidden="1" x14ac:dyDescent="0.25">
      <c r="A352" s="390"/>
      <c r="B352" s="369"/>
      <c r="C352" s="369"/>
      <c r="D352" s="372"/>
      <c r="E352" s="379"/>
      <c r="F352" s="380"/>
      <c r="G352" s="381"/>
      <c r="H352" s="375"/>
      <c r="I352" s="375"/>
      <c r="J352" s="375"/>
      <c r="K352" s="375"/>
      <c r="L352" s="431">
        <f>Table147[[#This Row],[Ambitious target 2030]]+Table147[[#This Row],[Ambitious target 2030]]*0.5</f>
        <v>0</v>
      </c>
      <c r="M352" s="375"/>
      <c r="N352" s="375"/>
      <c r="O352" s="431"/>
      <c r="P352" s="431"/>
      <c r="Q352" s="431">
        <f>Table147[[#This Row],[Red target]]-Table147[[#This Row],[Red target]]*0.5</f>
        <v>0</v>
      </c>
      <c r="R352" s="431"/>
      <c r="S352" s="431"/>
      <c r="T352" s="431"/>
      <c r="U352" s="431"/>
      <c r="V352" s="431"/>
      <c r="W352" s="431"/>
      <c r="X352" s="431"/>
      <c r="Y352" s="431"/>
      <c r="Z352" s="431"/>
      <c r="AA352" s="375"/>
      <c r="AB352" s="375"/>
      <c r="AC352" s="396"/>
      <c r="AD352" s="377"/>
      <c r="AE352" s="377"/>
      <c r="AF352" s="360"/>
      <c r="AG352" s="360"/>
      <c r="AH352" s="360"/>
      <c r="AI352" s="360"/>
    </row>
    <row r="353" spans="1:35" hidden="1" x14ac:dyDescent="0.25">
      <c r="A353" s="390"/>
      <c r="B353" s="369"/>
      <c r="C353" s="369"/>
      <c r="D353" s="372"/>
      <c r="E353" s="379"/>
      <c r="F353" s="380"/>
      <c r="G353" s="381"/>
      <c r="H353" s="375"/>
      <c r="I353" s="375"/>
      <c r="J353" s="375"/>
      <c r="K353" s="375"/>
      <c r="L353" s="431">
        <f>Table147[[#This Row],[Ambitious target 2030]]+Table147[[#This Row],[Ambitious target 2030]]*0.5</f>
        <v>0</v>
      </c>
      <c r="M353" s="375"/>
      <c r="N353" s="375"/>
      <c r="O353" s="431"/>
      <c r="P353" s="431"/>
      <c r="Q353" s="431">
        <f>Table147[[#This Row],[Red target]]-Table147[[#This Row],[Red target]]*0.5</f>
        <v>0</v>
      </c>
      <c r="R353" s="431"/>
      <c r="S353" s="431"/>
      <c r="T353" s="431"/>
      <c r="U353" s="431"/>
      <c r="V353" s="431"/>
      <c r="W353" s="431"/>
      <c r="X353" s="431"/>
      <c r="Y353" s="431"/>
      <c r="Z353" s="431"/>
      <c r="AA353" s="375"/>
      <c r="AB353" s="375"/>
      <c r="AC353" s="396"/>
      <c r="AD353" s="377"/>
      <c r="AE353" s="377"/>
      <c r="AF353" s="360"/>
      <c r="AG353" s="360"/>
      <c r="AH353" s="360"/>
      <c r="AI353" s="360"/>
    </row>
    <row r="354" spans="1:35" hidden="1" x14ac:dyDescent="0.25">
      <c r="A354" s="390"/>
      <c r="B354" s="369"/>
      <c r="C354" s="369"/>
      <c r="D354" s="372"/>
      <c r="E354" s="379"/>
      <c r="F354" s="380"/>
      <c r="G354" s="381"/>
      <c r="H354" s="375"/>
      <c r="I354" s="375"/>
      <c r="J354" s="375"/>
      <c r="K354" s="375"/>
      <c r="L354" s="431">
        <f>Table147[[#This Row],[Ambitious target 2030]]+Table147[[#This Row],[Ambitious target 2030]]*0.5</f>
        <v>0</v>
      </c>
      <c r="M354" s="375"/>
      <c r="N354" s="375"/>
      <c r="O354" s="431"/>
      <c r="P354" s="431"/>
      <c r="Q354" s="431">
        <f>Table147[[#This Row],[Red target]]-Table147[[#This Row],[Red target]]*0.5</f>
        <v>0</v>
      </c>
      <c r="R354" s="431"/>
      <c r="S354" s="431"/>
      <c r="T354" s="431"/>
      <c r="U354" s="431"/>
      <c r="V354" s="431"/>
      <c r="W354" s="431"/>
      <c r="X354" s="431"/>
      <c r="Y354" s="431"/>
      <c r="Z354" s="431"/>
      <c r="AA354" s="375"/>
      <c r="AB354" s="375"/>
      <c r="AC354" s="396"/>
      <c r="AD354" s="377"/>
      <c r="AE354" s="377"/>
      <c r="AF354" s="360"/>
      <c r="AG354" s="360"/>
      <c r="AH354" s="360"/>
      <c r="AI354" s="360"/>
    </row>
    <row r="355" spans="1:35" hidden="1" x14ac:dyDescent="0.25">
      <c r="A355" s="390"/>
      <c r="B355" s="369"/>
      <c r="C355" s="369"/>
      <c r="D355" s="372"/>
      <c r="E355" s="379"/>
      <c r="F355" s="380"/>
      <c r="G355" s="381"/>
      <c r="H355" s="375"/>
      <c r="I355" s="375"/>
      <c r="J355" s="375"/>
      <c r="K355" s="375"/>
      <c r="L355" s="431">
        <f>Table147[[#This Row],[Ambitious target 2030]]+Table147[[#This Row],[Ambitious target 2030]]*0.5</f>
        <v>0</v>
      </c>
      <c r="M355" s="375"/>
      <c r="N355" s="375"/>
      <c r="O355" s="431"/>
      <c r="P355" s="431"/>
      <c r="Q355" s="431">
        <f>Table147[[#This Row],[Red target]]-Table147[[#This Row],[Red target]]*0.5</f>
        <v>0</v>
      </c>
      <c r="R355" s="431"/>
      <c r="S355" s="431"/>
      <c r="T355" s="431"/>
      <c r="U355" s="431"/>
      <c r="V355" s="431"/>
      <c r="W355" s="431"/>
      <c r="X355" s="431"/>
      <c r="Y355" s="431"/>
      <c r="Z355" s="431"/>
      <c r="AA355" s="375"/>
      <c r="AB355" s="375"/>
      <c r="AC355" s="396"/>
      <c r="AD355" s="377">
        <v>1</v>
      </c>
      <c r="AE355" s="377"/>
      <c r="AF355" s="360"/>
      <c r="AG355" s="360"/>
      <c r="AH355" s="360"/>
      <c r="AI355" s="360"/>
    </row>
    <row r="356" spans="1:35" hidden="1" x14ac:dyDescent="0.25">
      <c r="A356" s="390"/>
      <c r="B356" s="369"/>
      <c r="C356" s="369"/>
      <c r="D356" s="372"/>
      <c r="E356" s="379"/>
      <c r="F356" s="380"/>
      <c r="G356" s="381"/>
      <c r="H356" s="375"/>
      <c r="I356" s="375"/>
      <c r="J356" s="375"/>
      <c r="K356" s="375"/>
      <c r="L356" s="431">
        <f>Table147[[#This Row],[Ambitious target 2030]]+Table147[[#This Row],[Ambitious target 2030]]*0.5</f>
        <v>0</v>
      </c>
      <c r="M356" s="375"/>
      <c r="N356" s="375"/>
      <c r="O356" s="431"/>
      <c r="P356" s="431"/>
      <c r="Q356" s="431">
        <f>Table147[[#This Row],[Red target]]-Table147[[#This Row],[Red target]]*0.5</f>
        <v>0</v>
      </c>
      <c r="R356" s="431"/>
      <c r="S356" s="431"/>
      <c r="T356" s="431"/>
      <c r="U356" s="431"/>
      <c r="V356" s="431"/>
      <c r="W356" s="431"/>
      <c r="X356" s="431"/>
      <c r="Y356" s="431"/>
      <c r="Z356" s="431"/>
      <c r="AA356" s="375"/>
      <c r="AB356" s="375"/>
      <c r="AC356" s="396"/>
      <c r="AD356" s="377">
        <v>0.60641100000000003</v>
      </c>
      <c r="AE356" s="377"/>
      <c r="AF356" s="360">
        <f>1/0.606411</f>
        <v>1.6490466037060671</v>
      </c>
      <c r="AG356" s="360"/>
      <c r="AH356" s="360"/>
      <c r="AI356" s="360"/>
    </row>
    <row r="357" spans="1:35" hidden="1" x14ac:dyDescent="0.25">
      <c r="A357" s="390"/>
      <c r="B357" s="369"/>
      <c r="C357" s="369"/>
      <c r="D357" s="372"/>
      <c r="E357" s="382"/>
      <c r="F357" s="383"/>
      <c r="G357" s="384"/>
      <c r="H357" s="375"/>
      <c r="I357" s="375"/>
      <c r="J357" s="375"/>
      <c r="K357" s="375"/>
      <c r="L357" s="431">
        <f>Table147[[#This Row],[Ambitious target 2030]]+Table147[[#This Row],[Ambitious target 2030]]*0.5</f>
        <v>0</v>
      </c>
      <c r="M357" s="375"/>
      <c r="N357" s="375"/>
      <c r="O357" s="431"/>
      <c r="P357" s="431"/>
      <c r="Q357" s="431">
        <f>Table147[[#This Row],[Red target]]-Table147[[#This Row],[Red target]]*0.5</f>
        <v>0</v>
      </c>
      <c r="R357" s="431"/>
      <c r="S357" s="431"/>
      <c r="T357" s="431"/>
      <c r="U357" s="431"/>
      <c r="V357" s="431"/>
      <c r="W357" s="431"/>
      <c r="X357" s="431"/>
      <c r="Y357" s="431"/>
      <c r="Z357" s="431"/>
      <c r="AA357" s="375"/>
      <c r="AB357" s="375"/>
      <c r="AC357" s="396"/>
      <c r="AD357" s="377"/>
      <c r="AE357" s="377"/>
      <c r="AF357" s="360"/>
      <c r="AG357" s="360"/>
      <c r="AH357" s="360"/>
      <c r="AI357" s="360"/>
    </row>
    <row r="358" spans="1:35" hidden="1" x14ac:dyDescent="0.25">
      <c r="A358" s="390"/>
      <c r="B358" s="369"/>
      <c r="C358" s="369"/>
      <c r="D358" s="372"/>
      <c r="E358" s="382"/>
      <c r="F358" s="383"/>
      <c r="G358" s="384"/>
      <c r="H358" s="375"/>
      <c r="I358" s="375"/>
      <c r="J358" s="375"/>
      <c r="K358" s="375"/>
      <c r="L358" s="431">
        <f>Table147[[#This Row],[Ambitious target 2030]]+Table147[[#This Row],[Ambitious target 2030]]*0.5</f>
        <v>0</v>
      </c>
      <c r="M358" s="375"/>
      <c r="N358" s="375"/>
      <c r="O358" s="431"/>
      <c r="P358" s="431"/>
      <c r="Q358" s="431">
        <f>Table147[[#This Row],[Red target]]-Table147[[#This Row],[Red target]]*0.5</f>
        <v>0</v>
      </c>
      <c r="R358" s="431"/>
      <c r="S358" s="431"/>
      <c r="T358" s="431"/>
      <c r="U358" s="431"/>
      <c r="V358" s="431"/>
      <c r="W358" s="431"/>
      <c r="X358" s="431"/>
      <c r="Y358" s="431"/>
      <c r="Z358" s="431"/>
      <c r="AA358" s="375"/>
      <c r="AB358" s="375"/>
      <c r="AC358" s="396"/>
      <c r="AD358" s="377"/>
      <c r="AE358" s="377"/>
      <c r="AF358" s="360"/>
      <c r="AG358" s="360"/>
      <c r="AH358" s="360"/>
      <c r="AI358" s="360"/>
    </row>
    <row r="359" spans="1:35" hidden="1" x14ac:dyDescent="0.25">
      <c r="A359" s="390"/>
      <c r="B359" s="369"/>
      <c r="C359" s="369"/>
      <c r="D359" s="372"/>
      <c r="E359" s="382"/>
      <c r="F359" s="383"/>
      <c r="G359" s="384"/>
      <c r="H359" s="375"/>
      <c r="I359" s="375"/>
      <c r="J359" s="375"/>
      <c r="K359" s="375"/>
      <c r="L359" s="431">
        <f>Table147[[#This Row],[Ambitious target 2030]]+Table147[[#This Row],[Ambitious target 2030]]*0.5</f>
        <v>0</v>
      </c>
      <c r="M359" s="375"/>
      <c r="N359" s="375"/>
      <c r="O359" s="431"/>
      <c r="P359" s="431"/>
      <c r="Q359" s="431">
        <f>Table147[[#This Row],[Red target]]-Table147[[#This Row],[Red target]]*0.5</f>
        <v>0</v>
      </c>
      <c r="R359" s="431"/>
      <c r="S359" s="431"/>
      <c r="T359" s="431"/>
      <c r="U359" s="431"/>
      <c r="V359" s="431"/>
      <c r="W359" s="431"/>
      <c r="X359" s="431"/>
      <c r="Y359" s="431"/>
      <c r="Z359" s="431"/>
      <c r="AA359" s="375"/>
      <c r="AB359" s="375"/>
      <c r="AC359" s="396"/>
      <c r="AD359" s="377"/>
      <c r="AE359" s="377"/>
      <c r="AF359" s="360"/>
      <c r="AG359" s="360"/>
      <c r="AH359" s="360"/>
      <c r="AI359" s="360"/>
    </row>
    <row r="360" spans="1:35" hidden="1" x14ac:dyDescent="0.25">
      <c r="A360" s="390"/>
      <c r="B360" s="369"/>
      <c r="C360" s="369"/>
      <c r="D360" s="372"/>
      <c r="E360" s="382"/>
      <c r="F360" s="383"/>
      <c r="G360" s="384"/>
      <c r="H360" s="375"/>
      <c r="I360" s="375"/>
      <c r="J360" s="375"/>
      <c r="K360" s="375"/>
      <c r="L360" s="431">
        <f>Table147[[#This Row],[Ambitious target 2030]]+Table147[[#This Row],[Ambitious target 2030]]*0.5</f>
        <v>0</v>
      </c>
      <c r="M360" s="375"/>
      <c r="N360" s="375"/>
      <c r="O360" s="431"/>
      <c r="P360" s="431"/>
      <c r="Q360" s="431">
        <f>Table147[[#This Row],[Red target]]-Table147[[#This Row],[Red target]]*0.5</f>
        <v>0</v>
      </c>
      <c r="R360" s="431"/>
      <c r="S360" s="431"/>
      <c r="T360" s="431"/>
      <c r="U360" s="431"/>
      <c r="V360" s="431"/>
      <c r="W360" s="431"/>
      <c r="X360" s="431"/>
      <c r="Y360" s="431"/>
      <c r="Z360" s="431"/>
      <c r="AA360" s="375"/>
      <c r="AB360" s="375"/>
      <c r="AC360" s="396"/>
      <c r="AD360" s="377"/>
      <c r="AE360" s="377"/>
      <c r="AF360" s="360"/>
      <c r="AG360" s="360"/>
      <c r="AH360" s="360"/>
      <c r="AI360" s="360"/>
    </row>
    <row r="361" spans="1:35" hidden="1" x14ac:dyDescent="0.25">
      <c r="A361" s="390"/>
      <c r="B361" s="369"/>
      <c r="C361" s="369"/>
      <c r="D361" s="372"/>
      <c r="E361" s="382"/>
      <c r="F361" s="383"/>
      <c r="G361" s="384"/>
      <c r="H361" s="375"/>
      <c r="I361" s="375"/>
      <c r="J361" s="375"/>
      <c r="K361" s="375"/>
      <c r="L361" s="431">
        <f>Table147[[#This Row],[Ambitious target 2030]]+Table147[[#This Row],[Ambitious target 2030]]*0.5</f>
        <v>0</v>
      </c>
      <c r="M361" s="375"/>
      <c r="N361" s="375"/>
      <c r="O361" s="431"/>
      <c r="P361" s="431"/>
      <c r="Q361" s="431">
        <f>Table147[[#This Row],[Red target]]-Table147[[#This Row],[Red target]]*0.5</f>
        <v>0</v>
      </c>
      <c r="R361" s="431"/>
      <c r="S361" s="431"/>
      <c r="T361" s="431"/>
      <c r="U361" s="431"/>
      <c r="V361" s="431"/>
      <c r="W361" s="431"/>
      <c r="X361" s="431"/>
      <c r="Y361" s="431"/>
      <c r="Z361" s="431"/>
      <c r="AA361" s="375"/>
      <c r="AB361" s="375"/>
      <c r="AC361" s="396"/>
      <c r="AD361" s="377"/>
      <c r="AE361" s="377"/>
      <c r="AF361" s="360"/>
      <c r="AG361" s="360"/>
      <c r="AH361" s="360"/>
      <c r="AI361" s="360"/>
    </row>
    <row r="362" spans="1:35" hidden="1" x14ac:dyDescent="0.25">
      <c r="A362" s="409"/>
      <c r="B362" s="406"/>
      <c r="C362" s="406"/>
      <c r="D362" s="406"/>
      <c r="E362" s="407">
        <v>2015</v>
      </c>
      <c r="F362" s="407">
        <v>2016</v>
      </c>
      <c r="G362" s="407">
        <v>2017</v>
      </c>
      <c r="H362" s="407"/>
      <c r="I362" s="407"/>
      <c r="J362" s="407"/>
      <c r="K362" s="407"/>
      <c r="L362" s="407">
        <f>Table147[[#This Row],[Ambitious target 2030]]+Table147[[#This Row],[Ambitious target 2030]]*0.5</f>
        <v>0</v>
      </c>
      <c r="M362" s="407"/>
      <c r="N362" s="407"/>
      <c r="O362" s="407"/>
      <c r="P362" s="407"/>
      <c r="Q362" s="407">
        <f>Table147[[#This Row],[Red target]]-Table147[[#This Row],[Red target]]*0.5</f>
        <v>0</v>
      </c>
      <c r="R362" s="407"/>
      <c r="S362" s="407"/>
      <c r="T362" s="407"/>
      <c r="U362" s="407"/>
      <c r="V362" s="407"/>
      <c r="W362" s="407"/>
      <c r="X362" s="407"/>
      <c r="Y362" s="407"/>
      <c r="Z362" s="407"/>
      <c r="AA362" s="407"/>
      <c r="AB362" s="407"/>
      <c r="AC362" s="413"/>
      <c r="AD362" s="377"/>
      <c r="AE362" s="377"/>
      <c r="AF362" s="360"/>
      <c r="AG362" s="360"/>
      <c r="AH362" s="360"/>
      <c r="AI362" s="360"/>
    </row>
    <row r="363" spans="1:35" hidden="1" x14ac:dyDescent="0.25">
      <c r="A363" s="418" t="s">
        <v>1102</v>
      </c>
      <c r="B363" s="437" t="s">
        <v>1107</v>
      </c>
      <c r="C363" s="437" t="s">
        <v>1101</v>
      </c>
      <c r="D363" s="436" t="s">
        <v>904</v>
      </c>
      <c r="E363" s="420">
        <v>4211322924.72716</v>
      </c>
      <c r="F363" s="420">
        <v>3473456846.8239088</v>
      </c>
      <c r="G363" s="420">
        <v>3473456846.8239088</v>
      </c>
      <c r="H363" s="421">
        <v>2015</v>
      </c>
      <c r="I363" s="421">
        <v>4211322924.72716</v>
      </c>
      <c r="J363" s="421">
        <v>2015</v>
      </c>
      <c r="K363" s="411">
        <f>4.48117*1000000000</f>
        <v>4481170000</v>
      </c>
      <c r="L363" s="411">
        <f>Table147[[#This Row],[Ambitious target 2030]]-Table147[[#This Row],[Ambitious target 2030]]*0.5</f>
        <v>2000378389.2454009</v>
      </c>
      <c r="M363" s="421">
        <f>Table147[[#This Row],[Data reference value]]+Table147[[#This Row],[Data reference value]]*Table147[[#This Row],[Ambitious target improvement rate 2030]]</f>
        <v>4000756778.4908018</v>
      </c>
      <c r="N363" s="421">
        <v>-0.05</v>
      </c>
      <c r="O363" s="421">
        <f>(Table147[[#This Row],[Ambitious target 2030]]-Table147[[#This Row],[Model reference value]])*0.5+Table147[[#This Row],[Model reference value]]</f>
        <v>4240963389.2454009</v>
      </c>
      <c r="P363" s="421"/>
      <c r="Q363" s="421">
        <f>Table147[[#This Row],[Red target]]+Table147[[#This Row],[Red target]]*0.5</f>
        <v>6721755000</v>
      </c>
      <c r="R363" s="421"/>
      <c r="S363" s="421"/>
      <c r="T363" s="421"/>
      <c r="U363" s="421"/>
      <c r="V363" s="421"/>
      <c r="W363" s="421"/>
      <c r="X363" s="421"/>
      <c r="Y363" s="421"/>
      <c r="Z363" s="421">
        <f>Table147[[#This Row],[Model reference value]]</f>
        <v>4481170000</v>
      </c>
      <c r="AA363" s="421" t="s">
        <v>1140</v>
      </c>
      <c r="AB363" s="421"/>
      <c r="AC363" s="371" t="s">
        <v>1103</v>
      </c>
      <c r="AD363" s="377"/>
      <c r="AE363" s="377"/>
      <c r="AF363" s="360"/>
      <c r="AG363" s="360"/>
      <c r="AH363" s="360"/>
      <c r="AI363" s="360"/>
    </row>
    <row r="364" spans="1:35" hidden="1" x14ac:dyDescent="0.25">
      <c r="A364" s="390"/>
      <c r="B364" s="369"/>
      <c r="C364" s="369"/>
      <c r="D364" s="369"/>
      <c r="E364" s="379"/>
      <c r="F364" s="380"/>
      <c r="G364" s="381"/>
      <c r="H364" s="421"/>
      <c r="I364" s="375"/>
      <c r="J364" s="375"/>
      <c r="K364" s="375"/>
      <c r="L364" s="375"/>
      <c r="M364" s="375"/>
      <c r="N364" s="375"/>
      <c r="O364" s="375"/>
      <c r="P364" s="375"/>
      <c r="Q364" s="375"/>
      <c r="R364" s="375"/>
      <c r="S364" s="375"/>
      <c r="T364" s="375"/>
      <c r="U364" s="375"/>
      <c r="V364" s="375"/>
      <c r="W364" s="375"/>
      <c r="X364" s="375"/>
      <c r="Y364" s="375"/>
      <c r="Z364" s="375"/>
      <c r="AA364" s="375"/>
      <c r="AB364" s="375"/>
      <c r="AC364" s="396"/>
      <c r="AD364" s="377"/>
      <c r="AE364" s="377"/>
      <c r="AF364" s="360"/>
      <c r="AG364" s="360"/>
      <c r="AH364" s="360"/>
      <c r="AI364" s="360"/>
    </row>
    <row r="365" spans="1:35" hidden="1" x14ac:dyDescent="0.25">
      <c r="A365" s="390"/>
      <c r="B365" s="369"/>
      <c r="C365" s="369"/>
      <c r="D365" s="369"/>
      <c r="E365" s="379"/>
      <c r="F365" s="380"/>
      <c r="G365" s="381"/>
      <c r="H365" s="421"/>
      <c r="I365" s="375"/>
      <c r="J365" s="375"/>
      <c r="K365" s="375"/>
      <c r="L365" s="375"/>
      <c r="M365" s="375"/>
      <c r="N365" s="375"/>
      <c r="O365" s="375"/>
      <c r="P365" s="375"/>
      <c r="Q365" s="375"/>
      <c r="R365" s="375"/>
      <c r="S365" s="375"/>
      <c r="T365" s="375"/>
      <c r="U365" s="375"/>
      <c r="V365" s="375"/>
      <c r="W365" s="375"/>
      <c r="X365" s="375"/>
      <c r="Y365" s="375"/>
      <c r="Z365" s="375"/>
      <c r="AA365" s="375"/>
      <c r="AB365" s="375"/>
      <c r="AC365" s="396"/>
      <c r="AD365" s="377"/>
      <c r="AE365" s="377"/>
      <c r="AF365" s="360"/>
      <c r="AG365" s="360"/>
      <c r="AH365" s="360"/>
      <c r="AI365" s="360"/>
    </row>
    <row r="366" spans="1:35" hidden="1" x14ac:dyDescent="0.25">
      <c r="A366" s="390"/>
      <c r="B366" s="369"/>
      <c r="C366" s="369"/>
      <c r="D366" s="369"/>
      <c r="E366" s="379"/>
      <c r="F366" s="380"/>
      <c r="G366" s="381"/>
      <c r="H366" s="421"/>
      <c r="I366" s="375"/>
      <c r="J366" s="375"/>
      <c r="K366" s="375"/>
      <c r="L366" s="375"/>
      <c r="M366" s="375"/>
      <c r="N366" s="375"/>
      <c r="O366" s="375"/>
      <c r="P366" s="375"/>
      <c r="Q366" s="375"/>
      <c r="R366" s="375"/>
      <c r="S366" s="375"/>
      <c r="T366" s="375"/>
      <c r="U366" s="375"/>
      <c r="V366" s="375"/>
      <c r="W366" s="375"/>
      <c r="X366" s="375"/>
      <c r="Y366" s="375"/>
      <c r="Z366" s="375"/>
      <c r="AA366" s="375"/>
      <c r="AB366" s="375"/>
      <c r="AC366" s="396"/>
      <c r="AD366" s="377"/>
      <c r="AE366" s="377"/>
      <c r="AF366" s="360"/>
      <c r="AG366" s="360"/>
      <c r="AH366" s="360"/>
      <c r="AI366" s="360"/>
    </row>
    <row r="367" spans="1:35" hidden="1" x14ac:dyDescent="0.25">
      <c r="A367" s="390"/>
      <c r="B367" s="369"/>
      <c r="C367" s="369"/>
      <c r="D367" s="369"/>
      <c r="E367" s="379"/>
      <c r="F367" s="380"/>
      <c r="G367" s="381"/>
      <c r="H367" s="421"/>
      <c r="I367" s="375"/>
      <c r="J367" s="375"/>
      <c r="K367" s="375"/>
      <c r="L367" s="375"/>
      <c r="M367" s="375"/>
      <c r="N367" s="375"/>
      <c r="O367" s="375"/>
      <c r="P367" s="375"/>
      <c r="Q367" s="375"/>
      <c r="R367" s="375"/>
      <c r="S367" s="375"/>
      <c r="T367" s="375"/>
      <c r="U367" s="375"/>
      <c r="V367" s="375"/>
      <c r="W367" s="375"/>
      <c r="X367" s="375"/>
      <c r="Y367" s="375"/>
      <c r="Z367" s="375"/>
      <c r="AA367" s="375"/>
      <c r="AB367" s="375"/>
      <c r="AC367" s="396"/>
      <c r="AD367" s="377"/>
      <c r="AE367" s="377"/>
      <c r="AF367" s="360"/>
      <c r="AG367" s="360"/>
      <c r="AH367" s="360"/>
      <c r="AI367" s="360"/>
    </row>
    <row r="368" spans="1:35" hidden="1" x14ac:dyDescent="0.25">
      <c r="A368" s="390"/>
      <c r="B368" s="369"/>
      <c r="C368" s="369"/>
      <c r="D368" s="369"/>
      <c r="E368" s="379"/>
      <c r="F368" s="380"/>
      <c r="G368" s="381"/>
      <c r="H368" s="421"/>
      <c r="I368" s="375"/>
      <c r="J368" s="375"/>
      <c r="K368" s="375"/>
      <c r="L368" s="375"/>
      <c r="M368" s="375"/>
      <c r="N368" s="375"/>
      <c r="O368" s="375"/>
      <c r="P368" s="375"/>
      <c r="Q368" s="375"/>
      <c r="R368" s="375"/>
      <c r="S368" s="375"/>
      <c r="T368" s="375"/>
      <c r="U368" s="375"/>
      <c r="V368" s="375"/>
      <c r="W368" s="375"/>
      <c r="X368" s="375"/>
      <c r="Y368" s="375"/>
      <c r="Z368" s="375"/>
      <c r="AA368" s="375"/>
      <c r="AB368" s="375"/>
      <c r="AC368" s="396"/>
      <c r="AD368" s="377"/>
      <c r="AE368" s="377"/>
      <c r="AF368" s="360"/>
      <c r="AG368" s="360"/>
      <c r="AH368" s="360"/>
      <c r="AI368" s="360"/>
    </row>
    <row r="369" spans="1:35" hidden="1" x14ac:dyDescent="0.25">
      <c r="A369" s="390"/>
      <c r="B369" s="369"/>
      <c r="C369" s="369"/>
      <c r="D369" s="369"/>
      <c r="E369" s="382"/>
      <c r="F369" s="383"/>
      <c r="G369" s="384"/>
      <c r="H369" s="421"/>
      <c r="I369" s="375"/>
      <c r="J369" s="375"/>
      <c r="K369" s="375"/>
      <c r="L369" s="375"/>
      <c r="M369" s="375"/>
      <c r="N369" s="375"/>
      <c r="O369" s="375"/>
      <c r="P369" s="375"/>
      <c r="Q369" s="375"/>
      <c r="R369" s="375"/>
      <c r="S369" s="375"/>
      <c r="T369" s="375"/>
      <c r="U369" s="375"/>
      <c r="V369" s="375"/>
      <c r="W369" s="375"/>
      <c r="X369" s="375"/>
      <c r="Y369" s="375"/>
      <c r="Z369" s="375"/>
      <c r="AA369" s="375"/>
      <c r="AB369" s="375"/>
      <c r="AC369" s="396"/>
      <c r="AD369" s="377"/>
      <c r="AE369" s="377"/>
      <c r="AF369" s="360"/>
      <c r="AG369" s="360"/>
      <c r="AH369" s="360"/>
      <c r="AI369" s="360"/>
    </row>
    <row r="370" spans="1:35" hidden="1" x14ac:dyDescent="0.25">
      <c r="A370" s="390"/>
      <c r="B370" s="369"/>
      <c r="C370" s="369"/>
      <c r="D370" s="369"/>
      <c r="E370" s="382"/>
      <c r="F370" s="383"/>
      <c r="G370" s="384"/>
      <c r="H370" s="421"/>
      <c r="I370" s="375"/>
      <c r="J370" s="375"/>
      <c r="K370" s="375"/>
      <c r="L370" s="375"/>
      <c r="M370" s="375"/>
      <c r="N370" s="375"/>
      <c r="O370" s="375"/>
      <c r="P370" s="375"/>
      <c r="Q370" s="375"/>
      <c r="R370" s="375"/>
      <c r="S370" s="375"/>
      <c r="T370" s="375"/>
      <c r="U370" s="375"/>
      <c r="V370" s="375"/>
      <c r="W370" s="375"/>
      <c r="X370" s="375"/>
      <c r="Y370" s="375"/>
      <c r="Z370" s="375"/>
      <c r="AA370" s="375"/>
      <c r="AB370" s="375"/>
      <c r="AC370" s="396"/>
      <c r="AD370" s="377"/>
      <c r="AE370" s="377"/>
      <c r="AF370" s="360"/>
      <c r="AG370" s="360"/>
      <c r="AH370" s="360"/>
      <c r="AI370" s="360"/>
    </row>
    <row r="371" spans="1:35" hidden="1" x14ac:dyDescent="0.25">
      <c r="A371" s="390"/>
      <c r="B371" s="369"/>
      <c r="C371" s="369"/>
      <c r="D371" s="369"/>
      <c r="E371" s="382"/>
      <c r="F371" s="383"/>
      <c r="G371" s="384"/>
      <c r="H371" s="421"/>
      <c r="I371" s="375"/>
      <c r="J371" s="375"/>
      <c r="K371" s="375"/>
      <c r="L371" s="375"/>
      <c r="M371" s="375"/>
      <c r="N371" s="375"/>
      <c r="O371" s="375"/>
      <c r="P371" s="375"/>
      <c r="Q371" s="375"/>
      <c r="R371" s="375"/>
      <c r="S371" s="375"/>
      <c r="T371" s="375"/>
      <c r="U371" s="375"/>
      <c r="V371" s="375"/>
      <c r="W371" s="375"/>
      <c r="X371" s="375"/>
      <c r="Y371" s="375"/>
      <c r="Z371" s="375"/>
      <c r="AA371" s="375"/>
      <c r="AB371" s="375"/>
      <c r="AC371" s="396"/>
      <c r="AD371" s="377"/>
      <c r="AE371" s="377"/>
      <c r="AF371" s="360"/>
      <c r="AG371" s="360"/>
      <c r="AH371" s="360"/>
      <c r="AI371" s="360"/>
    </row>
    <row r="372" spans="1:35" hidden="1" x14ac:dyDescent="0.25">
      <c r="A372" s="390"/>
      <c r="B372" s="369"/>
      <c r="C372" s="369"/>
      <c r="D372" s="369"/>
      <c r="E372" s="382"/>
      <c r="F372" s="383"/>
      <c r="G372" s="384"/>
      <c r="H372" s="421"/>
      <c r="I372" s="375"/>
      <c r="J372" s="375"/>
      <c r="K372" s="375"/>
      <c r="L372" s="375"/>
      <c r="M372" s="375"/>
      <c r="N372" s="375"/>
      <c r="O372" s="375"/>
      <c r="P372" s="375"/>
      <c r="Q372" s="375"/>
      <c r="R372" s="375"/>
      <c r="S372" s="375"/>
      <c r="T372" s="375"/>
      <c r="U372" s="375"/>
      <c r="V372" s="375"/>
      <c r="W372" s="375"/>
      <c r="X372" s="375"/>
      <c r="Y372" s="375"/>
      <c r="Z372" s="375"/>
      <c r="AA372" s="375"/>
      <c r="AB372" s="375"/>
      <c r="AC372" s="396"/>
      <c r="AD372" s="377"/>
      <c r="AE372" s="377"/>
      <c r="AF372" s="360"/>
      <c r="AG372" s="360"/>
      <c r="AH372" s="360"/>
      <c r="AI372" s="360"/>
    </row>
    <row r="373" spans="1:35" hidden="1" x14ac:dyDescent="0.25">
      <c r="A373" s="390"/>
      <c r="B373" s="369"/>
      <c r="C373" s="369"/>
      <c r="D373" s="369"/>
      <c r="E373" s="382"/>
      <c r="F373" s="383"/>
      <c r="G373" s="384"/>
      <c r="H373" s="421"/>
      <c r="I373" s="375"/>
      <c r="J373" s="375"/>
      <c r="K373" s="375"/>
      <c r="L373" s="375"/>
      <c r="M373" s="375"/>
      <c r="N373" s="375"/>
      <c r="O373" s="375"/>
      <c r="P373" s="375"/>
      <c r="Q373" s="375"/>
      <c r="R373" s="375"/>
      <c r="S373" s="375"/>
      <c r="T373" s="375"/>
      <c r="U373" s="375"/>
      <c r="V373" s="375"/>
      <c r="W373" s="375"/>
      <c r="X373" s="375"/>
      <c r="Y373" s="375"/>
      <c r="Z373" s="375"/>
      <c r="AA373" s="375"/>
      <c r="AB373" s="375"/>
      <c r="AC373" s="396"/>
      <c r="AD373" s="377"/>
      <c r="AE373" s="377"/>
      <c r="AF373" s="360"/>
      <c r="AG373" s="360"/>
      <c r="AH373" s="360"/>
      <c r="AI373" s="360"/>
    </row>
    <row r="374" spans="1:35" s="386" customFormat="1" hidden="1" x14ac:dyDescent="0.25">
      <c r="A374" s="409"/>
      <c r="B374" s="406"/>
      <c r="C374" s="406"/>
      <c r="D374" s="406"/>
      <c r="E374" s="407">
        <v>2015</v>
      </c>
      <c r="F374" s="407">
        <v>2016</v>
      </c>
      <c r="G374" s="407">
        <v>2017</v>
      </c>
      <c r="H374" s="407"/>
      <c r="I374" s="407"/>
      <c r="J374" s="407"/>
      <c r="K374" s="407"/>
      <c r="L374" s="407">
        <f>Table147[[#This Row],[Ambitious target 2030]]+Table147[[#This Row],[Ambitious target 2030]]*0.5</f>
        <v>0</v>
      </c>
      <c r="M374" s="407"/>
      <c r="N374" s="407"/>
      <c r="O374" s="407"/>
      <c r="P374" s="407"/>
      <c r="Q374" s="407">
        <f>Table147[[#This Row],[Red target]]-Table147[[#This Row],[Red target]]*0.5</f>
        <v>0</v>
      </c>
      <c r="R374" s="407"/>
      <c r="S374" s="407"/>
      <c r="T374" s="407"/>
      <c r="U374" s="407"/>
      <c r="V374" s="407"/>
      <c r="W374" s="407"/>
      <c r="X374" s="407"/>
      <c r="Y374" s="407"/>
      <c r="Z374" s="407"/>
      <c r="AA374" s="407"/>
      <c r="AB374" s="407"/>
      <c r="AC374" s="413"/>
    </row>
    <row r="375" spans="1:35" hidden="1" x14ac:dyDescent="0.25">
      <c r="A375" s="418" t="s">
        <v>640</v>
      </c>
      <c r="B375" s="437" t="s">
        <v>644</v>
      </c>
      <c r="C375" s="437" t="s">
        <v>645</v>
      </c>
      <c r="D375" s="436" t="s">
        <v>904</v>
      </c>
      <c r="E375" s="420">
        <v>0.57065564884860986</v>
      </c>
      <c r="F375" s="420">
        <v>0.46535993918845253</v>
      </c>
      <c r="G375" s="420">
        <v>0.46019101328446049</v>
      </c>
      <c r="H375" s="421">
        <v>2015</v>
      </c>
      <c r="I375" s="421">
        <v>0.57065564884860986</v>
      </c>
      <c r="J375" s="421">
        <v>2015</v>
      </c>
      <c r="K375" s="411">
        <v>0.65505500000000005</v>
      </c>
      <c r="L375" s="411">
        <f>Table147[[#This Row],[Ambitious target 2030]]-Table147[[#This Row],[Ambitious target 2030]]*0.5</f>
        <v>0.27106143320308967</v>
      </c>
      <c r="M375" s="421">
        <f>Table147[[#This Row],[Data reference value]]+Table147[[#This Row],[Data reference value]]*Table147[[#This Row],[Ambitious target improvement rate 2030]]</f>
        <v>0.54212286640617935</v>
      </c>
      <c r="N375" s="421">
        <v>-0.05</v>
      </c>
      <c r="O375" s="421">
        <f>(Table147[[#This Row],[Ambitious target 2030]]-Table147[[#This Row],[Model reference value]])*0.5+Table147[[#This Row],[Model reference value]]</f>
        <v>0.5985889332030897</v>
      </c>
      <c r="P375" s="421"/>
      <c r="Q375" s="421">
        <f>Table147[[#This Row],[Red target]]+Table147[[#This Row],[Red target]]*0.5</f>
        <v>0.98258250000000014</v>
      </c>
      <c r="R375" s="421"/>
      <c r="S375" s="421"/>
      <c r="T375" s="421"/>
      <c r="U375" s="421"/>
      <c r="V375" s="421"/>
      <c r="W375" s="421"/>
      <c r="X375" s="421"/>
      <c r="Y375" s="421"/>
      <c r="Z375" s="421">
        <f>Table147[[#This Row],[Model reference value]]</f>
        <v>0.65505500000000005</v>
      </c>
      <c r="AA375" s="421" t="s">
        <v>1140</v>
      </c>
      <c r="AB375" s="421" t="s">
        <v>1114</v>
      </c>
      <c r="AC375" s="371" t="s">
        <v>1103</v>
      </c>
      <c r="AD375" s="360"/>
      <c r="AE375" s="360"/>
      <c r="AF375" s="360"/>
      <c r="AG375" s="360"/>
      <c r="AH375" s="360"/>
      <c r="AI375" s="360"/>
    </row>
    <row r="376" spans="1:35" hidden="1" x14ac:dyDescent="0.25">
      <c r="A376" s="390"/>
      <c r="B376" s="369"/>
      <c r="C376" s="369"/>
      <c r="D376" s="369"/>
      <c r="E376" s="379"/>
      <c r="F376" s="380"/>
      <c r="G376" s="381"/>
      <c r="H376" s="421"/>
      <c r="I376" s="375"/>
      <c r="J376" s="375"/>
      <c r="K376" s="375"/>
      <c r="L376" s="375">
        <f>Table147[[#This Row],[Ambitious target 2030]]+Table147[[#This Row],[Ambitious target 2030]]*0.5</f>
        <v>0</v>
      </c>
      <c r="M376" s="375"/>
      <c r="N376" s="375"/>
      <c r="O376" s="375"/>
      <c r="P376" s="375"/>
      <c r="Q376" s="375">
        <f>Table147[[#This Row],[Red target]]-Table147[[#This Row],[Red target]]*0.5</f>
        <v>0</v>
      </c>
      <c r="R376" s="375"/>
      <c r="S376" s="375"/>
      <c r="T376" s="375"/>
      <c r="U376" s="375"/>
      <c r="V376" s="375"/>
      <c r="W376" s="375"/>
      <c r="X376" s="375"/>
      <c r="Y376" s="375"/>
      <c r="Z376" s="375"/>
      <c r="AA376" s="375"/>
      <c r="AB376" s="375"/>
      <c r="AC376" s="396"/>
      <c r="AD376" s="360"/>
      <c r="AE376" s="360"/>
      <c r="AF376" s="360"/>
      <c r="AG376" s="360"/>
      <c r="AH376" s="360"/>
      <c r="AI376" s="360"/>
    </row>
    <row r="377" spans="1:35" hidden="1" x14ac:dyDescent="0.25">
      <c r="A377" s="390"/>
      <c r="B377" s="369"/>
      <c r="C377" s="369"/>
      <c r="D377" s="369"/>
      <c r="E377" s="379"/>
      <c r="F377" s="380"/>
      <c r="G377" s="381"/>
      <c r="H377" s="421"/>
      <c r="I377" s="375"/>
      <c r="J377" s="375"/>
      <c r="K377" s="375"/>
      <c r="L377" s="375">
        <f>Table147[[#This Row],[Ambitious target 2030]]+Table147[[#This Row],[Ambitious target 2030]]*0.5</f>
        <v>0</v>
      </c>
      <c r="M377" s="375"/>
      <c r="N377" s="375"/>
      <c r="O377" s="375"/>
      <c r="P377" s="375"/>
      <c r="Q377" s="375">
        <f>Table147[[#This Row],[Red target]]-Table147[[#This Row],[Red target]]*0.5</f>
        <v>0</v>
      </c>
      <c r="R377" s="375"/>
      <c r="S377" s="375"/>
      <c r="T377" s="375"/>
      <c r="U377" s="375"/>
      <c r="V377" s="375"/>
      <c r="W377" s="375"/>
      <c r="X377" s="375"/>
      <c r="Y377" s="375"/>
      <c r="Z377" s="375"/>
      <c r="AA377" s="375"/>
      <c r="AB377" s="375"/>
      <c r="AC377" s="396"/>
      <c r="AD377" s="360"/>
      <c r="AE377" s="360"/>
      <c r="AF377" s="360"/>
      <c r="AG377" s="360"/>
      <c r="AH377" s="360"/>
      <c r="AI377" s="360"/>
    </row>
    <row r="378" spans="1:35" hidden="1" x14ac:dyDescent="0.25">
      <c r="A378" s="390"/>
      <c r="B378" s="369"/>
      <c r="C378" s="369"/>
      <c r="D378" s="369"/>
      <c r="E378" s="379"/>
      <c r="F378" s="380"/>
      <c r="G378" s="381"/>
      <c r="H378" s="421"/>
      <c r="I378" s="375"/>
      <c r="J378" s="375"/>
      <c r="K378" s="375"/>
      <c r="L378" s="375">
        <f>Table147[[#This Row],[Ambitious target 2030]]+Table147[[#This Row],[Ambitious target 2030]]*0.5</f>
        <v>0</v>
      </c>
      <c r="M378" s="375"/>
      <c r="N378" s="375"/>
      <c r="O378" s="375"/>
      <c r="P378" s="375"/>
      <c r="Q378" s="375">
        <f>Table147[[#This Row],[Red target]]-Table147[[#This Row],[Red target]]*0.5</f>
        <v>0</v>
      </c>
      <c r="R378" s="375"/>
      <c r="S378" s="375"/>
      <c r="T378" s="375"/>
      <c r="U378" s="375"/>
      <c r="V378" s="375"/>
      <c r="W378" s="375"/>
      <c r="X378" s="375"/>
      <c r="Y378" s="375"/>
      <c r="Z378" s="375"/>
      <c r="AA378" s="375"/>
      <c r="AB378" s="375"/>
      <c r="AC378" s="396"/>
      <c r="AD378" s="360"/>
      <c r="AE378" s="360"/>
      <c r="AF378" s="360"/>
      <c r="AG378" s="360"/>
      <c r="AH378" s="360"/>
      <c r="AI378" s="360"/>
    </row>
    <row r="379" spans="1:35" hidden="1" x14ac:dyDescent="0.25">
      <c r="A379" s="390"/>
      <c r="B379" s="369"/>
      <c r="C379" s="369"/>
      <c r="D379" s="369"/>
      <c r="E379" s="379"/>
      <c r="F379" s="380"/>
      <c r="G379" s="381"/>
      <c r="H379" s="421"/>
      <c r="I379" s="375"/>
      <c r="J379" s="375"/>
      <c r="K379" s="375"/>
      <c r="L379" s="375">
        <f>Table147[[#This Row],[Ambitious target 2030]]+Table147[[#This Row],[Ambitious target 2030]]*0.5</f>
        <v>0</v>
      </c>
      <c r="M379" s="375"/>
      <c r="N379" s="375"/>
      <c r="O379" s="375"/>
      <c r="P379" s="375"/>
      <c r="Q379" s="375">
        <f>Table147[[#This Row],[Red target]]-Table147[[#This Row],[Red target]]*0.5</f>
        <v>0</v>
      </c>
      <c r="R379" s="375"/>
      <c r="S379" s="375"/>
      <c r="T379" s="375"/>
      <c r="U379" s="375"/>
      <c r="V379" s="375"/>
      <c r="W379" s="375"/>
      <c r="X379" s="375"/>
      <c r="Y379" s="375"/>
      <c r="Z379" s="375"/>
      <c r="AA379" s="375"/>
      <c r="AB379" s="375"/>
      <c r="AC379" s="396"/>
      <c r="AD379" s="360"/>
      <c r="AE379" s="360"/>
      <c r="AF379" s="360"/>
      <c r="AG379" s="360"/>
      <c r="AH379" s="360"/>
      <c r="AI379" s="360"/>
    </row>
    <row r="380" spans="1:35" hidden="1" x14ac:dyDescent="0.25">
      <c r="A380" s="390"/>
      <c r="B380" s="369"/>
      <c r="C380" s="369"/>
      <c r="D380" s="369"/>
      <c r="E380" s="379"/>
      <c r="F380" s="380"/>
      <c r="G380" s="381"/>
      <c r="H380" s="421"/>
      <c r="I380" s="375"/>
      <c r="J380" s="375"/>
      <c r="K380" s="375"/>
      <c r="L380" s="375">
        <f>Table147[[#This Row],[Ambitious target 2030]]+Table147[[#This Row],[Ambitious target 2030]]*0.5</f>
        <v>0</v>
      </c>
      <c r="M380" s="375"/>
      <c r="N380" s="375"/>
      <c r="O380" s="375"/>
      <c r="P380" s="375"/>
      <c r="Q380" s="375">
        <f>Table147[[#This Row],[Red target]]-Table147[[#This Row],[Red target]]*0.5</f>
        <v>0</v>
      </c>
      <c r="R380" s="375"/>
      <c r="S380" s="375"/>
      <c r="T380" s="375"/>
      <c r="U380" s="375"/>
      <c r="V380" s="375"/>
      <c r="W380" s="375"/>
      <c r="X380" s="375"/>
      <c r="Y380" s="375"/>
      <c r="Z380" s="375"/>
      <c r="AA380" s="375"/>
      <c r="AB380" s="375"/>
      <c r="AC380" s="396"/>
      <c r="AD380" s="360"/>
      <c r="AE380" s="360"/>
      <c r="AF380" s="360"/>
      <c r="AG380" s="360"/>
      <c r="AH380" s="360"/>
      <c r="AI380" s="360"/>
    </row>
    <row r="381" spans="1:35" hidden="1" x14ac:dyDescent="0.25">
      <c r="A381" s="390"/>
      <c r="B381" s="369"/>
      <c r="C381" s="369"/>
      <c r="D381" s="369"/>
      <c r="E381" s="382"/>
      <c r="F381" s="383"/>
      <c r="G381" s="384"/>
      <c r="H381" s="421"/>
      <c r="I381" s="375"/>
      <c r="J381" s="375"/>
      <c r="K381" s="375"/>
      <c r="L381" s="375">
        <f>Table147[[#This Row],[Ambitious target 2030]]+Table147[[#This Row],[Ambitious target 2030]]*0.5</f>
        <v>0</v>
      </c>
      <c r="M381" s="375"/>
      <c r="N381" s="375"/>
      <c r="O381" s="375"/>
      <c r="P381" s="375"/>
      <c r="Q381" s="375">
        <f>Table147[[#This Row],[Red target]]-Table147[[#This Row],[Red target]]*0.5</f>
        <v>0</v>
      </c>
      <c r="R381" s="375"/>
      <c r="S381" s="375"/>
      <c r="T381" s="375"/>
      <c r="U381" s="375"/>
      <c r="V381" s="375"/>
      <c r="W381" s="375"/>
      <c r="X381" s="375"/>
      <c r="Y381" s="375"/>
      <c r="Z381" s="375"/>
      <c r="AA381" s="375"/>
      <c r="AB381" s="375"/>
      <c r="AC381" s="396"/>
      <c r="AD381" s="360"/>
      <c r="AE381" s="360"/>
      <c r="AF381" s="360"/>
      <c r="AG381" s="360"/>
      <c r="AH381" s="360"/>
      <c r="AI381" s="360"/>
    </row>
    <row r="382" spans="1:35" hidden="1" x14ac:dyDescent="0.25">
      <c r="A382" s="390"/>
      <c r="B382" s="369"/>
      <c r="C382" s="369"/>
      <c r="D382" s="369"/>
      <c r="E382" s="382"/>
      <c r="F382" s="383"/>
      <c r="G382" s="384"/>
      <c r="H382" s="421"/>
      <c r="I382" s="375"/>
      <c r="J382" s="375"/>
      <c r="K382" s="375"/>
      <c r="L382" s="375">
        <f>Table147[[#This Row],[Ambitious target 2030]]+Table147[[#This Row],[Ambitious target 2030]]*0.5</f>
        <v>0</v>
      </c>
      <c r="M382" s="375"/>
      <c r="N382" s="375"/>
      <c r="O382" s="375"/>
      <c r="P382" s="375"/>
      <c r="Q382" s="375">
        <f>Table147[[#This Row],[Red target]]-Table147[[#This Row],[Red target]]*0.5</f>
        <v>0</v>
      </c>
      <c r="R382" s="375"/>
      <c r="S382" s="375"/>
      <c r="T382" s="375"/>
      <c r="U382" s="375"/>
      <c r="V382" s="375"/>
      <c r="W382" s="375"/>
      <c r="X382" s="375"/>
      <c r="Y382" s="375"/>
      <c r="Z382" s="375"/>
      <c r="AA382" s="375"/>
      <c r="AB382" s="375"/>
      <c r="AC382" s="396"/>
      <c r="AD382" s="360"/>
      <c r="AE382" s="360"/>
      <c r="AF382" s="360"/>
      <c r="AG382" s="360"/>
      <c r="AH382" s="360"/>
      <c r="AI382" s="360"/>
    </row>
    <row r="383" spans="1:35" hidden="1" x14ac:dyDescent="0.25">
      <c r="A383" s="390"/>
      <c r="B383" s="369"/>
      <c r="C383" s="369"/>
      <c r="D383" s="369"/>
      <c r="E383" s="382"/>
      <c r="F383" s="383"/>
      <c r="G383" s="384"/>
      <c r="H383" s="421"/>
      <c r="I383" s="375"/>
      <c r="J383" s="375"/>
      <c r="K383" s="375"/>
      <c r="L383" s="375">
        <f>Table147[[#This Row],[Ambitious target 2030]]+Table147[[#This Row],[Ambitious target 2030]]*0.5</f>
        <v>0</v>
      </c>
      <c r="M383" s="375"/>
      <c r="N383" s="375"/>
      <c r="O383" s="375"/>
      <c r="P383" s="375"/>
      <c r="Q383" s="375">
        <f>Table147[[#This Row],[Red target]]-Table147[[#This Row],[Red target]]*0.5</f>
        <v>0</v>
      </c>
      <c r="R383" s="375"/>
      <c r="S383" s="375"/>
      <c r="T383" s="375"/>
      <c r="U383" s="375"/>
      <c r="V383" s="375"/>
      <c r="W383" s="375"/>
      <c r="X383" s="375"/>
      <c r="Y383" s="375"/>
      <c r="Z383" s="375"/>
      <c r="AA383" s="375"/>
      <c r="AB383" s="375"/>
      <c r="AC383" s="396"/>
      <c r="AD383" s="360"/>
      <c r="AE383" s="360"/>
      <c r="AF383" s="360"/>
      <c r="AG383" s="360"/>
      <c r="AH383" s="360"/>
      <c r="AI383" s="360"/>
    </row>
    <row r="384" spans="1:35" hidden="1" x14ac:dyDescent="0.25">
      <c r="A384" s="390"/>
      <c r="B384" s="369"/>
      <c r="C384" s="369"/>
      <c r="D384" s="369"/>
      <c r="E384" s="382"/>
      <c r="F384" s="383"/>
      <c r="G384" s="384"/>
      <c r="H384" s="421"/>
      <c r="I384" s="375"/>
      <c r="J384" s="375"/>
      <c r="K384" s="375"/>
      <c r="L384" s="375">
        <f>Table147[[#This Row],[Ambitious target 2030]]+Table147[[#This Row],[Ambitious target 2030]]*0.5</f>
        <v>0</v>
      </c>
      <c r="M384" s="375"/>
      <c r="N384" s="375"/>
      <c r="O384" s="375"/>
      <c r="P384" s="375"/>
      <c r="Q384" s="375">
        <f>Table147[[#This Row],[Red target]]-Table147[[#This Row],[Red target]]*0.5</f>
        <v>0</v>
      </c>
      <c r="R384" s="375"/>
      <c r="S384" s="375"/>
      <c r="T384" s="375"/>
      <c r="U384" s="375"/>
      <c r="V384" s="375"/>
      <c r="W384" s="375"/>
      <c r="X384" s="375"/>
      <c r="Y384" s="375"/>
      <c r="Z384" s="375"/>
      <c r="AA384" s="375"/>
      <c r="AB384" s="375"/>
      <c r="AC384" s="396"/>
      <c r="AD384" s="360"/>
      <c r="AE384" s="360"/>
      <c r="AF384" s="360"/>
      <c r="AG384" s="360"/>
      <c r="AH384" s="360"/>
      <c r="AI384" s="360"/>
    </row>
    <row r="385" spans="1:35" hidden="1" x14ac:dyDescent="0.25">
      <c r="A385" s="390"/>
      <c r="B385" s="369"/>
      <c r="C385" s="369"/>
      <c r="D385" s="369"/>
      <c r="E385" s="382"/>
      <c r="F385" s="383"/>
      <c r="G385" s="384"/>
      <c r="H385" s="421"/>
      <c r="I385" s="375"/>
      <c r="J385" s="375"/>
      <c r="K385" s="375"/>
      <c r="L385" s="375">
        <f>Table147[[#This Row],[Ambitious target 2030]]+Table147[[#This Row],[Ambitious target 2030]]*0.5</f>
        <v>0</v>
      </c>
      <c r="M385" s="375"/>
      <c r="N385" s="375"/>
      <c r="O385" s="375"/>
      <c r="P385" s="375"/>
      <c r="Q385" s="375">
        <f>Table147[[#This Row],[Red target]]-Table147[[#This Row],[Red target]]*0.5</f>
        <v>0</v>
      </c>
      <c r="R385" s="375"/>
      <c r="S385" s="375"/>
      <c r="T385" s="375"/>
      <c r="U385" s="375"/>
      <c r="V385" s="375"/>
      <c r="W385" s="375"/>
      <c r="X385" s="375"/>
      <c r="Y385" s="375"/>
      <c r="Z385" s="375"/>
      <c r="AA385" s="375"/>
      <c r="AB385" s="375"/>
      <c r="AC385" s="396"/>
      <c r="AD385" s="360"/>
      <c r="AE385" s="360"/>
      <c r="AF385" s="360"/>
      <c r="AG385" s="360"/>
      <c r="AH385" s="360"/>
      <c r="AI385" s="360"/>
    </row>
    <row r="386" spans="1:35" s="386" customFormat="1" hidden="1" x14ac:dyDescent="0.25">
      <c r="A386" s="409"/>
      <c r="B386" s="406"/>
      <c r="C386" s="406"/>
      <c r="D386" s="406"/>
      <c r="E386" s="407">
        <v>2015</v>
      </c>
      <c r="F386" s="407">
        <v>2016</v>
      </c>
      <c r="G386" s="407">
        <v>2017</v>
      </c>
      <c r="H386" s="407"/>
      <c r="I386" s="407"/>
      <c r="J386" s="407"/>
      <c r="K386" s="407"/>
      <c r="L386" s="407">
        <f>Table147[[#This Row],[Ambitious target 2030]]+Table147[[#This Row],[Ambitious target 2030]]*0.5</f>
        <v>0</v>
      </c>
      <c r="M386" s="407"/>
      <c r="N386" s="407"/>
      <c r="O386" s="407"/>
      <c r="P386" s="407"/>
      <c r="Q386" s="407">
        <f>Table147[[#This Row],[Red target]]-Table147[[#This Row],[Red target]]*0.5</f>
        <v>0</v>
      </c>
      <c r="R386" s="407"/>
      <c r="S386" s="407"/>
      <c r="T386" s="407"/>
      <c r="U386" s="407"/>
      <c r="V386" s="407"/>
      <c r="W386" s="407"/>
      <c r="X386" s="407"/>
      <c r="Y386" s="407"/>
      <c r="Z386" s="407"/>
      <c r="AA386" s="407"/>
      <c r="AB386" s="407"/>
      <c r="AC386" s="413"/>
    </row>
    <row r="387" spans="1:35" hidden="1" x14ac:dyDescent="0.25">
      <c r="A387" s="418" t="s">
        <v>641</v>
      </c>
      <c r="B387" s="437" t="s">
        <v>1112</v>
      </c>
      <c r="C387" s="437" t="s">
        <v>645</v>
      </c>
      <c r="D387" s="436" t="s">
        <v>904</v>
      </c>
      <c r="E387" s="420">
        <v>0.7883381298190415</v>
      </c>
      <c r="F387" s="420">
        <v>0.78656058603811374</v>
      </c>
      <c r="G387" s="420">
        <v>0.79016088480322133</v>
      </c>
      <c r="H387" s="421">
        <v>2015</v>
      </c>
      <c r="I387" s="421">
        <v>0.7883381298190415</v>
      </c>
      <c r="J387" s="421">
        <v>2015</v>
      </c>
      <c r="K387" s="411">
        <v>0.94756200000000002</v>
      </c>
      <c r="L387" s="411">
        <f>Table147[[#This Row],[Ambitious target 2030]]-Table147[[#This Row],[Ambitious target 2030]]*0.5</f>
        <v>0.37446061166404471</v>
      </c>
      <c r="M387" s="421">
        <f>Table147[[#This Row],[Data reference value]]+Table147[[#This Row],[Data reference value]]*Table147[[#This Row],[Ambitious target improvement rate 2030]]</f>
        <v>0.74892122332808941</v>
      </c>
      <c r="N387" s="421">
        <v>-0.05</v>
      </c>
      <c r="O387" s="421">
        <f>(Table147[[#This Row],[Ambitious target 2030]]-Table147[[#This Row],[Model reference value]])*0.5+Table147[[#This Row],[Model reference value]]</f>
        <v>0.84824161166404477</v>
      </c>
      <c r="P387" s="421"/>
      <c r="Q387" s="421">
        <f>Table147[[#This Row],[Red target]]+Table147[[#This Row],[Red target]]*0.5</f>
        <v>1.421343</v>
      </c>
      <c r="R387" s="421"/>
      <c r="S387" s="421"/>
      <c r="T387" s="421"/>
      <c r="U387" s="421"/>
      <c r="V387" s="421"/>
      <c r="W387" s="421"/>
      <c r="X387" s="421"/>
      <c r="Y387" s="421"/>
      <c r="Z387" s="421">
        <f>Table147[[#This Row],[Model reference value]]</f>
        <v>0.94756200000000002</v>
      </c>
      <c r="AA387" s="421" t="s">
        <v>1140</v>
      </c>
      <c r="AB387" s="421" t="s">
        <v>1113</v>
      </c>
      <c r="AC387" s="371" t="s">
        <v>1103</v>
      </c>
      <c r="AD387" s="360"/>
      <c r="AE387" s="377" t="s">
        <v>932</v>
      </c>
      <c r="AF387" s="360"/>
      <c r="AG387" s="360"/>
      <c r="AH387" s="360"/>
      <c r="AI387" s="360"/>
    </row>
    <row r="388" spans="1:35" hidden="1" x14ac:dyDescent="0.25">
      <c r="A388" s="390"/>
      <c r="B388" s="369"/>
      <c r="C388" s="369"/>
      <c r="D388" s="369"/>
      <c r="E388" s="379"/>
      <c r="F388" s="380"/>
      <c r="G388" s="381"/>
      <c r="H388" s="421"/>
      <c r="I388" s="375"/>
      <c r="J388" s="375"/>
      <c r="K388" s="375"/>
      <c r="L388" s="375">
        <f>Table147[[#This Row],[Ambitious target 2030]]+Table147[[#This Row],[Ambitious target 2030]]*0.5</f>
        <v>0</v>
      </c>
      <c r="M388" s="375"/>
      <c r="N388" s="375"/>
      <c r="O388" s="375"/>
      <c r="P388" s="375"/>
      <c r="Q388" s="375">
        <f>Table147[[#This Row],[Red target]]-Table147[[#This Row],[Red target]]*0.5</f>
        <v>0</v>
      </c>
      <c r="R388" s="375"/>
      <c r="S388" s="375"/>
      <c r="T388" s="375"/>
      <c r="U388" s="375"/>
      <c r="V388" s="375"/>
      <c r="W388" s="375"/>
      <c r="X388" s="375"/>
      <c r="Y388" s="375"/>
      <c r="Z388" s="375"/>
      <c r="AA388" s="375"/>
      <c r="AB388" s="375"/>
      <c r="AC388" s="396"/>
      <c r="AD388" s="360"/>
      <c r="AE388" s="360"/>
      <c r="AF388" s="360"/>
      <c r="AG388" s="360"/>
      <c r="AH388" s="360"/>
      <c r="AI388" s="360"/>
    </row>
    <row r="389" spans="1:35" hidden="1" x14ac:dyDescent="0.25">
      <c r="A389" s="390"/>
      <c r="B389" s="369"/>
      <c r="C389" s="369"/>
      <c r="D389" s="369"/>
      <c r="E389" s="379"/>
      <c r="F389" s="380"/>
      <c r="G389" s="381"/>
      <c r="H389" s="421"/>
      <c r="I389" s="375"/>
      <c r="J389" s="375"/>
      <c r="K389" s="375"/>
      <c r="L389" s="375">
        <f>Table147[[#This Row],[Ambitious target 2030]]+Table147[[#This Row],[Ambitious target 2030]]*0.5</f>
        <v>0</v>
      </c>
      <c r="M389" s="375"/>
      <c r="N389" s="375"/>
      <c r="O389" s="375"/>
      <c r="P389" s="375"/>
      <c r="Q389" s="375">
        <f>Table147[[#This Row],[Red target]]-Table147[[#This Row],[Red target]]*0.5</f>
        <v>0</v>
      </c>
      <c r="R389" s="375"/>
      <c r="S389" s="375"/>
      <c r="T389" s="375"/>
      <c r="U389" s="375"/>
      <c r="V389" s="375"/>
      <c r="W389" s="375"/>
      <c r="X389" s="375"/>
      <c r="Y389" s="375"/>
      <c r="Z389" s="375"/>
      <c r="AA389" s="375"/>
      <c r="AB389" s="375"/>
      <c r="AC389" s="396"/>
      <c r="AD389" s="360"/>
      <c r="AE389" s="360"/>
      <c r="AF389" s="360"/>
      <c r="AG389" s="360"/>
      <c r="AH389" s="360"/>
      <c r="AI389" s="360"/>
    </row>
    <row r="390" spans="1:35" hidden="1" x14ac:dyDescent="0.25">
      <c r="A390" s="390"/>
      <c r="B390" s="369"/>
      <c r="C390" s="369"/>
      <c r="D390" s="369"/>
      <c r="E390" s="379"/>
      <c r="F390" s="380"/>
      <c r="G390" s="381"/>
      <c r="H390" s="421"/>
      <c r="I390" s="375"/>
      <c r="J390" s="375"/>
      <c r="K390" s="375"/>
      <c r="L390" s="375">
        <f>Table147[[#This Row],[Ambitious target 2030]]+Table147[[#This Row],[Ambitious target 2030]]*0.5</f>
        <v>0</v>
      </c>
      <c r="M390" s="375"/>
      <c r="N390" s="375"/>
      <c r="O390" s="375"/>
      <c r="P390" s="375"/>
      <c r="Q390" s="375">
        <f>Table147[[#This Row],[Red target]]-Table147[[#This Row],[Red target]]*0.5</f>
        <v>0</v>
      </c>
      <c r="R390" s="375"/>
      <c r="S390" s="375"/>
      <c r="T390" s="375"/>
      <c r="U390" s="375"/>
      <c r="V390" s="375"/>
      <c r="W390" s="375"/>
      <c r="X390" s="375"/>
      <c r="Y390" s="375"/>
      <c r="Z390" s="375"/>
      <c r="AA390" s="375"/>
      <c r="AB390" s="375"/>
      <c r="AC390" s="396"/>
      <c r="AD390" s="360"/>
      <c r="AE390" s="360"/>
      <c r="AF390" s="360"/>
      <c r="AG390" s="360"/>
      <c r="AH390" s="360"/>
      <c r="AI390" s="360"/>
    </row>
    <row r="391" spans="1:35" hidden="1" x14ac:dyDescent="0.25">
      <c r="A391" s="390"/>
      <c r="B391" s="369"/>
      <c r="C391" s="369"/>
      <c r="D391" s="369"/>
      <c r="E391" s="379"/>
      <c r="F391" s="380"/>
      <c r="G391" s="381"/>
      <c r="H391" s="421"/>
      <c r="I391" s="375"/>
      <c r="J391" s="375"/>
      <c r="K391" s="375"/>
      <c r="L391" s="375">
        <f>Table147[[#This Row],[Ambitious target 2030]]+Table147[[#This Row],[Ambitious target 2030]]*0.5</f>
        <v>0</v>
      </c>
      <c r="M391" s="375"/>
      <c r="N391" s="375"/>
      <c r="O391" s="375"/>
      <c r="P391" s="375"/>
      <c r="Q391" s="375">
        <f>Table147[[#This Row],[Red target]]-Table147[[#This Row],[Red target]]*0.5</f>
        <v>0</v>
      </c>
      <c r="R391" s="375"/>
      <c r="S391" s="375"/>
      <c r="T391" s="375"/>
      <c r="U391" s="375"/>
      <c r="V391" s="375"/>
      <c r="W391" s="375"/>
      <c r="X391" s="375"/>
      <c r="Y391" s="375"/>
      <c r="Z391" s="375"/>
      <c r="AA391" s="375"/>
      <c r="AB391" s="375"/>
      <c r="AC391" s="396"/>
      <c r="AD391" s="360"/>
      <c r="AE391" s="360"/>
      <c r="AF391" s="360"/>
      <c r="AG391" s="360"/>
      <c r="AH391" s="360"/>
      <c r="AI391" s="360"/>
    </row>
    <row r="392" spans="1:35" hidden="1" x14ac:dyDescent="0.25">
      <c r="A392" s="390"/>
      <c r="B392" s="369"/>
      <c r="C392" s="369"/>
      <c r="D392" s="369"/>
      <c r="E392" s="379"/>
      <c r="F392" s="380"/>
      <c r="G392" s="381"/>
      <c r="H392" s="421"/>
      <c r="I392" s="375"/>
      <c r="J392" s="375"/>
      <c r="K392" s="375"/>
      <c r="L392" s="375">
        <f>Table147[[#This Row],[Ambitious target 2030]]+Table147[[#This Row],[Ambitious target 2030]]*0.5</f>
        <v>0</v>
      </c>
      <c r="M392" s="375"/>
      <c r="N392" s="375"/>
      <c r="O392" s="375"/>
      <c r="P392" s="375"/>
      <c r="Q392" s="375">
        <f>Table147[[#This Row],[Red target]]-Table147[[#This Row],[Red target]]*0.5</f>
        <v>0</v>
      </c>
      <c r="R392" s="375"/>
      <c r="S392" s="375"/>
      <c r="T392" s="375"/>
      <c r="U392" s="375"/>
      <c r="V392" s="375"/>
      <c r="W392" s="375"/>
      <c r="X392" s="375"/>
      <c r="Y392" s="375"/>
      <c r="Z392" s="375"/>
      <c r="AA392" s="375"/>
      <c r="AB392" s="375"/>
      <c r="AC392" s="396"/>
      <c r="AD392" s="360"/>
      <c r="AE392" s="360"/>
      <c r="AF392" s="360"/>
      <c r="AG392" s="360"/>
      <c r="AH392" s="360"/>
      <c r="AI392" s="360"/>
    </row>
    <row r="393" spans="1:35" hidden="1" x14ac:dyDescent="0.25">
      <c r="A393" s="390"/>
      <c r="B393" s="369"/>
      <c r="C393" s="369"/>
      <c r="D393" s="369"/>
      <c r="E393" s="382"/>
      <c r="F393" s="383"/>
      <c r="G393" s="384"/>
      <c r="H393" s="421"/>
      <c r="I393" s="375"/>
      <c r="J393" s="375"/>
      <c r="K393" s="375"/>
      <c r="L393" s="375">
        <f>Table147[[#This Row],[Ambitious target 2030]]+Table147[[#This Row],[Ambitious target 2030]]*0.5</f>
        <v>0</v>
      </c>
      <c r="M393" s="375"/>
      <c r="N393" s="375"/>
      <c r="O393" s="375"/>
      <c r="P393" s="375"/>
      <c r="Q393" s="375">
        <f>Table147[[#This Row],[Red target]]-Table147[[#This Row],[Red target]]*0.5</f>
        <v>0</v>
      </c>
      <c r="R393" s="375"/>
      <c r="S393" s="375"/>
      <c r="T393" s="375"/>
      <c r="U393" s="375"/>
      <c r="V393" s="375"/>
      <c r="W393" s="375"/>
      <c r="X393" s="375"/>
      <c r="Y393" s="375"/>
      <c r="Z393" s="375"/>
      <c r="AA393" s="375"/>
      <c r="AB393" s="375"/>
      <c r="AC393" s="396"/>
      <c r="AD393" s="360"/>
      <c r="AE393" s="360"/>
      <c r="AF393" s="360"/>
      <c r="AG393" s="360"/>
      <c r="AH393" s="360"/>
      <c r="AI393" s="360"/>
    </row>
    <row r="394" spans="1:35" hidden="1" x14ac:dyDescent="0.25">
      <c r="A394" s="390"/>
      <c r="B394" s="369"/>
      <c r="C394" s="369"/>
      <c r="D394" s="369"/>
      <c r="E394" s="382"/>
      <c r="F394" s="383"/>
      <c r="G394" s="384"/>
      <c r="H394" s="421"/>
      <c r="I394" s="375"/>
      <c r="J394" s="375"/>
      <c r="K394" s="375"/>
      <c r="L394" s="375">
        <f>Table147[[#This Row],[Ambitious target 2030]]+Table147[[#This Row],[Ambitious target 2030]]*0.5</f>
        <v>0</v>
      </c>
      <c r="M394" s="375"/>
      <c r="N394" s="375"/>
      <c r="O394" s="375"/>
      <c r="P394" s="375"/>
      <c r="Q394" s="375">
        <f>Table147[[#This Row],[Red target]]-Table147[[#This Row],[Red target]]*0.5</f>
        <v>0</v>
      </c>
      <c r="R394" s="375"/>
      <c r="S394" s="375"/>
      <c r="T394" s="375"/>
      <c r="U394" s="375"/>
      <c r="V394" s="375"/>
      <c r="W394" s="375"/>
      <c r="X394" s="375"/>
      <c r="Y394" s="375"/>
      <c r="Z394" s="375"/>
      <c r="AA394" s="375"/>
      <c r="AB394" s="375"/>
      <c r="AC394" s="396"/>
      <c r="AD394" s="360"/>
      <c r="AE394" s="360"/>
      <c r="AF394" s="360"/>
      <c r="AG394" s="360"/>
      <c r="AH394" s="360"/>
      <c r="AI394" s="360"/>
    </row>
    <row r="395" spans="1:35" hidden="1" x14ac:dyDescent="0.25">
      <c r="A395" s="390"/>
      <c r="B395" s="369"/>
      <c r="C395" s="369"/>
      <c r="D395" s="369"/>
      <c r="E395" s="382"/>
      <c r="F395" s="383"/>
      <c r="G395" s="384"/>
      <c r="H395" s="421"/>
      <c r="I395" s="375"/>
      <c r="J395" s="375"/>
      <c r="K395" s="375"/>
      <c r="L395" s="375">
        <f>Table147[[#This Row],[Ambitious target 2030]]+Table147[[#This Row],[Ambitious target 2030]]*0.5</f>
        <v>0</v>
      </c>
      <c r="M395" s="375"/>
      <c r="N395" s="375"/>
      <c r="O395" s="375"/>
      <c r="P395" s="375"/>
      <c r="Q395" s="375">
        <f>Table147[[#This Row],[Red target]]-Table147[[#This Row],[Red target]]*0.5</f>
        <v>0</v>
      </c>
      <c r="R395" s="375"/>
      <c r="S395" s="375"/>
      <c r="T395" s="375"/>
      <c r="U395" s="375"/>
      <c r="V395" s="375"/>
      <c r="W395" s="375"/>
      <c r="X395" s="375"/>
      <c r="Y395" s="375"/>
      <c r="Z395" s="375"/>
      <c r="AA395" s="375"/>
      <c r="AB395" s="375"/>
      <c r="AC395" s="396"/>
      <c r="AD395" s="360"/>
      <c r="AE395" s="360"/>
      <c r="AF395" s="360"/>
      <c r="AG395" s="360"/>
      <c r="AH395" s="360"/>
      <c r="AI395" s="360"/>
    </row>
    <row r="396" spans="1:35" hidden="1" x14ac:dyDescent="0.25">
      <c r="A396" s="390"/>
      <c r="B396" s="369"/>
      <c r="C396" s="369"/>
      <c r="D396" s="369"/>
      <c r="E396" s="382"/>
      <c r="F396" s="383"/>
      <c r="G396" s="384"/>
      <c r="H396" s="421"/>
      <c r="I396" s="375"/>
      <c r="J396" s="375"/>
      <c r="K396" s="375"/>
      <c r="L396" s="375">
        <f>Table147[[#This Row],[Ambitious target 2030]]+Table147[[#This Row],[Ambitious target 2030]]*0.5</f>
        <v>0</v>
      </c>
      <c r="M396" s="375"/>
      <c r="N396" s="375"/>
      <c r="O396" s="375"/>
      <c r="P396" s="375"/>
      <c r="Q396" s="375">
        <f>Table147[[#This Row],[Red target]]-Table147[[#This Row],[Red target]]*0.5</f>
        <v>0</v>
      </c>
      <c r="R396" s="375"/>
      <c r="S396" s="375"/>
      <c r="T396" s="375"/>
      <c r="U396" s="375"/>
      <c r="V396" s="375"/>
      <c r="W396" s="375"/>
      <c r="X396" s="375"/>
      <c r="Y396" s="375"/>
      <c r="Z396" s="375"/>
      <c r="AA396" s="375"/>
      <c r="AB396" s="375"/>
      <c r="AC396" s="396"/>
      <c r="AD396" s="360"/>
      <c r="AE396" s="360"/>
      <c r="AF396" s="360"/>
      <c r="AG396" s="360"/>
      <c r="AH396" s="360"/>
      <c r="AI396" s="360"/>
    </row>
    <row r="397" spans="1:35" hidden="1" x14ac:dyDescent="0.25">
      <c r="A397" s="390"/>
      <c r="B397" s="369"/>
      <c r="C397" s="369"/>
      <c r="D397" s="369"/>
      <c r="E397" s="382"/>
      <c r="F397" s="383"/>
      <c r="G397" s="384"/>
      <c r="H397" s="421"/>
      <c r="I397" s="375"/>
      <c r="J397" s="375"/>
      <c r="K397" s="375"/>
      <c r="L397" s="375">
        <f>Table147[[#This Row],[Ambitious target 2030]]+Table147[[#This Row],[Ambitious target 2030]]*0.5</f>
        <v>0</v>
      </c>
      <c r="M397" s="375"/>
      <c r="N397" s="375"/>
      <c r="O397" s="375"/>
      <c r="P397" s="375"/>
      <c r="Q397" s="375">
        <f>Table147[[#This Row],[Red target]]-Table147[[#This Row],[Red target]]*0.5</f>
        <v>0</v>
      </c>
      <c r="R397" s="375"/>
      <c r="S397" s="375"/>
      <c r="T397" s="375"/>
      <c r="U397" s="375"/>
      <c r="V397" s="375"/>
      <c r="W397" s="375"/>
      <c r="X397" s="375"/>
      <c r="Y397" s="375"/>
      <c r="Z397" s="375"/>
      <c r="AA397" s="375"/>
      <c r="AB397" s="375"/>
      <c r="AC397" s="396"/>
      <c r="AD397" s="360"/>
      <c r="AE397" s="360"/>
      <c r="AF397" s="360"/>
      <c r="AG397" s="360"/>
      <c r="AH397" s="360"/>
      <c r="AI397" s="360"/>
    </row>
    <row r="398" spans="1:35" hidden="1" x14ac:dyDescent="0.25">
      <c r="A398" s="409"/>
      <c r="B398" s="406"/>
      <c r="C398" s="406"/>
      <c r="D398" s="406"/>
      <c r="E398" s="407">
        <v>2015</v>
      </c>
      <c r="F398" s="407">
        <v>2016</v>
      </c>
      <c r="G398" s="407">
        <v>2017</v>
      </c>
      <c r="H398" s="407"/>
      <c r="I398" s="407"/>
      <c r="J398" s="407"/>
      <c r="K398" s="407"/>
      <c r="L398" s="407">
        <f>Table147[[#This Row],[Ambitious target 2030]]+Table147[[#This Row],[Ambitious target 2030]]*0.5</f>
        <v>0</v>
      </c>
      <c r="M398" s="407"/>
      <c r="N398" s="407"/>
      <c r="O398" s="407"/>
      <c r="P398" s="407"/>
      <c r="Q398" s="407">
        <f>Table147[[#This Row],[Red target]]-Table147[[#This Row],[Red target]]*0.5</f>
        <v>0</v>
      </c>
      <c r="R398" s="407"/>
      <c r="S398" s="407"/>
      <c r="T398" s="407"/>
      <c r="U398" s="407"/>
      <c r="V398" s="407"/>
      <c r="W398" s="407"/>
      <c r="X398" s="407"/>
      <c r="Y398" s="407"/>
      <c r="Z398" s="407"/>
      <c r="AA398" s="407"/>
      <c r="AB398" s="407"/>
      <c r="AC398" s="413"/>
      <c r="AD398" s="360"/>
      <c r="AE398" s="360"/>
      <c r="AF398" s="360"/>
      <c r="AG398" s="360"/>
      <c r="AH398" s="360"/>
      <c r="AI398" s="360"/>
    </row>
    <row r="399" spans="1:35" hidden="1" x14ac:dyDescent="0.25">
      <c r="A399" s="418" t="s">
        <v>1104</v>
      </c>
      <c r="B399" s="437" t="s">
        <v>1108</v>
      </c>
      <c r="C399" s="437" t="s">
        <v>1101</v>
      </c>
      <c r="D399" s="436" t="s">
        <v>904</v>
      </c>
      <c r="E399" s="420">
        <v>5817775475.0031729</v>
      </c>
      <c r="F399" s="420">
        <v>5870905557.0628424</v>
      </c>
      <c r="G399" s="420">
        <v>5964022886.5478907</v>
      </c>
      <c r="H399" s="421">
        <v>2015</v>
      </c>
      <c r="I399" s="421">
        <v>5817775475.0031729</v>
      </c>
      <c r="J399" s="421">
        <v>2015</v>
      </c>
      <c r="K399" s="411">
        <f>6.48219*1000000000</f>
        <v>6482190000</v>
      </c>
      <c r="L399" s="411">
        <f>Table147[[#This Row],[Ambitious target 2030]]-Table147[[#This Row],[Ambitious target 2030]]*0.5</f>
        <v>2763443350.6265073</v>
      </c>
      <c r="M399" s="421">
        <f>Table147[[#This Row],[Data reference value]]+Table147[[#This Row],[Data reference value]]*Table147[[#This Row],[Ambitious target improvement rate 2030]]</f>
        <v>5526886701.2530146</v>
      </c>
      <c r="N399" s="421">
        <v>-0.05</v>
      </c>
      <c r="O399" s="421">
        <f>(Table147[[#This Row],[Ambitious target 2030]]-Table147[[#This Row],[Model reference value]])*0.5+Table147[[#This Row],[Model reference value]]</f>
        <v>6004538350.6265068</v>
      </c>
      <c r="P399" s="421"/>
      <c r="Q399" s="421">
        <f>Table147[[#This Row],[Red target]]+Table147[[#This Row],[Red target]]*0.5</f>
        <v>9723285000</v>
      </c>
      <c r="R399" s="421"/>
      <c r="S399" s="421"/>
      <c r="T399" s="421"/>
      <c r="U399" s="421"/>
      <c r="V399" s="421"/>
      <c r="W399" s="421"/>
      <c r="X399" s="421"/>
      <c r="Y399" s="421"/>
      <c r="Z399" s="421">
        <f>Table147[[#This Row],[Model reference value]]</f>
        <v>6482190000</v>
      </c>
      <c r="AA399" s="421" t="s">
        <v>1140</v>
      </c>
      <c r="AB399" s="421"/>
      <c r="AC399" s="371" t="s">
        <v>1103</v>
      </c>
      <c r="AD399" s="360"/>
      <c r="AE399" s="360"/>
      <c r="AF399" s="360"/>
      <c r="AG399" s="360"/>
      <c r="AH399" s="360"/>
      <c r="AI399" s="360"/>
    </row>
    <row r="400" spans="1:35" hidden="1" x14ac:dyDescent="0.25">
      <c r="A400" s="390"/>
      <c r="B400" s="369"/>
      <c r="C400" s="369"/>
      <c r="D400" s="369"/>
      <c r="E400" s="379"/>
      <c r="F400" s="380"/>
      <c r="G400" s="381"/>
      <c r="H400" s="421"/>
      <c r="I400" s="375"/>
      <c r="J400" s="375"/>
      <c r="K400" s="375"/>
      <c r="L400" s="375"/>
      <c r="M400" s="375"/>
      <c r="N400" s="375"/>
      <c r="O400" s="375"/>
      <c r="P400" s="375"/>
      <c r="Q400" s="375"/>
      <c r="R400" s="375"/>
      <c r="S400" s="375"/>
      <c r="T400" s="375"/>
      <c r="U400" s="375"/>
      <c r="V400" s="375"/>
      <c r="W400" s="375"/>
      <c r="X400" s="375"/>
      <c r="Y400" s="375"/>
      <c r="Z400" s="375"/>
      <c r="AA400" s="375"/>
      <c r="AB400" s="375"/>
      <c r="AC400" s="396"/>
      <c r="AD400" s="360"/>
      <c r="AE400" s="360"/>
      <c r="AF400" s="360"/>
      <c r="AG400" s="360"/>
      <c r="AH400" s="360"/>
      <c r="AI400" s="360"/>
    </row>
    <row r="401" spans="1:35" hidden="1" x14ac:dyDescent="0.25">
      <c r="A401" s="390"/>
      <c r="B401" s="369"/>
      <c r="C401" s="369"/>
      <c r="D401" s="369"/>
      <c r="E401" s="379"/>
      <c r="F401" s="380"/>
      <c r="G401" s="381"/>
      <c r="H401" s="421"/>
      <c r="I401" s="375"/>
      <c r="J401" s="375"/>
      <c r="K401" s="375"/>
      <c r="L401" s="375"/>
      <c r="M401" s="375"/>
      <c r="N401" s="375"/>
      <c r="O401" s="375"/>
      <c r="P401" s="375"/>
      <c r="Q401" s="375"/>
      <c r="R401" s="375"/>
      <c r="S401" s="375"/>
      <c r="T401" s="375"/>
      <c r="U401" s="375"/>
      <c r="V401" s="375"/>
      <c r="W401" s="375"/>
      <c r="X401" s="375"/>
      <c r="Y401" s="375"/>
      <c r="Z401" s="375"/>
      <c r="AA401" s="375"/>
      <c r="AB401" s="375"/>
      <c r="AC401" s="396"/>
      <c r="AD401" s="360"/>
      <c r="AE401" s="360"/>
      <c r="AF401" s="360"/>
      <c r="AG401" s="360"/>
      <c r="AH401" s="360"/>
      <c r="AI401" s="360"/>
    </row>
    <row r="402" spans="1:35" hidden="1" x14ac:dyDescent="0.25">
      <c r="A402" s="390"/>
      <c r="B402" s="369"/>
      <c r="C402" s="369"/>
      <c r="D402" s="369"/>
      <c r="E402" s="379"/>
      <c r="F402" s="380"/>
      <c r="G402" s="381"/>
      <c r="H402" s="421"/>
      <c r="I402" s="375"/>
      <c r="J402" s="375"/>
      <c r="K402" s="375"/>
      <c r="L402" s="375"/>
      <c r="M402" s="375"/>
      <c r="N402" s="375"/>
      <c r="O402" s="375"/>
      <c r="P402" s="375"/>
      <c r="Q402" s="375"/>
      <c r="R402" s="375"/>
      <c r="S402" s="375"/>
      <c r="T402" s="375"/>
      <c r="U402" s="375"/>
      <c r="V402" s="375"/>
      <c r="W402" s="375"/>
      <c r="X402" s="375"/>
      <c r="Y402" s="375"/>
      <c r="Z402" s="375"/>
      <c r="AA402" s="375"/>
      <c r="AB402" s="375"/>
      <c r="AC402" s="396"/>
      <c r="AD402" s="360"/>
      <c r="AE402" s="360"/>
      <c r="AF402" s="360"/>
      <c r="AG402" s="360"/>
      <c r="AH402" s="360"/>
      <c r="AI402" s="360"/>
    </row>
    <row r="403" spans="1:35" hidden="1" x14ac:dyDescent="0.25">
      <c r="A403" s="390"/>
      <c r="B403" s="369"/>
      <c r="C403" s="369"/>
      <c r="D403" s="369"/>
      <c r="E403" s="379"/>
      <c r="F403" s="380"/>
      <c r="G403" s="381"/>
      <c r="H403" s="421"/>
      <c r="I403" s="375"/>
      <c r="J403" s="375"/>
      <c r="K403" s="375"/>
      <c r="L403" s="375"/>
      <c r="M403" s="375"/>
      <c r="N403" s="375"/>
      <c r="O403" s="375"/>
      <c r="P403" s="375"/>
      <c r="Q403" s="375"/>
      <c r="R403" s="375"/>
      <c r="S403" s="375"/>
      <c r="T403" s="375"/>
      <c r="U403" s="375"/>
      <c r="V403" s="375"/>
      <c r="W403" s="375"/>
      <c r="X403" s="375"/>
      <c r="Y403" s="375"/>
      <c r="Z403" s="375"/>
      <c r="AA403" s="375"/>
      <c r="AB403" s="375"/>
      <c r="AC403" s="396"/>
      <c r="AD403" s="360"/>
      <c r="AE403" s="360"/>
      <c r="AF403" s="360"/>
      <c r="AG403" s="360"/>
      <c r="AH403" s="360"/>
      <c r="AI403" s="360"/>
    </row>
    <row r="404" spans="1:35" hidden="1" x14ac:dyDescent="0.25">
      <c r="A404" s="390"/>
      <c r="B404" s="369"/>
      <c r="C404" s="369"/>
      <c r="D404" s="369"/>
      <c r="E404" s="379"/>
      <c r="F404" s="380"/>
      <c r="G404" s="381"/>
      <c r="H404" s="421"/>
      <c r="I404" s="375"/>
      <c r="J404" s="375"/>
      <c r="K404" s="375"/>
      <c r="L404" s="375"/>
      <c r="M404" s="375"/>
      <c r="N404" s="375"/>
      <c r="O404" s="375"/>
      <c r="P404" s="375"/>
      <c r="Q404" s="375"/>
      <c r="R404" s="375"/>
      <c r="S404" s="375"/>
      <c r="T404" s="375"/>
      <c r="U404" s="375"/>
      <c r="V404" s="375"/>
      <c r="W404" s="375"/>
      <c r="X404" s="375"/>
      <c r="Y404" s="375"/>
      <c r="Z404" s="375"/>
      <c r="AA404" s="375"/>
      <c r="AB404" s="375"/>
      <c r="AC404" s="396"/>
      <c r="AD404" s="360"/>
      <c r="AE404" s="360"/>
      <c r="AF404" s="360"/>
      <c r="AG404" s="360"/>
      <c r="AH404" s="360"/>
      <c r="AI404" s="360"/>
    </row>
    <row r="405" spans="1:35" hidden="1" x14ac:dyDescent="0.25">
      <c r="A405" s="390"/>
      <c r="B405" s="369"/>
      <c r="C405" s="369"/>
      <c r="D405" s="369"/>
      <c r="E405" s="382"/>
      <c r="F405" s="383"/>
      <c r="G405" s="384"/>
      <c r="H405" s="421"/>
      <c r="I405" s="375"/>
      <c r="J405" s="375"/>
      <c r="K405" s="375"/>
      <c r="L405" s="375"/>
      <c r="M405" s="375"/>
      <c r="N405" s="375"/>
      <c r="O405" s="375"/>
      <c r="P405" s="375"/>
      <c r="Q405" s="375"/>
      <c r="R405" s="375"/>
      <c r="S405" s="375"/>
      <c r="T405" s="375"/>
      <c r="U405" s="375"/>
      <c r="V405" s="375"/>
      <c r="W405" s="375"/>
      <c r="X405" s="375"/>
      <c r="Y405" s="375"/>
      <c r="Z405" s="375"/>
      <c r="AA405" s="375"/>
      <c r="AB405" s="375"/>
      <c r="AC405" s="396"/>
      <c r="AD405" s="360"/>
      <c r="AE405" s="360"/>
      <c r="AF405" s="360"/>
      <c r="AG405" s="360"/>
      <c r="AH405" s="360"/>
      <c r="AI405" s="360"/>
    </row>
    <row r="406" spans="1:35" hidden="1" x14ac:dyDescent="0.25">
      <c r="A406" s="390"/>
      <c r="B406" s="369"/>
      <c r="C406" s="369"/>
      <c r="D406" s="369"/>
      <c r="E406" s="382"/>
      <c r="F406" s="383"/>
      <c r="G406" s="384"/>
      <c r="H406" s="421"/>
      <c r="I406" s="375"/>
      <c r="J406" s="375"/>
      <c r="K406" s="375"/>
      <c r="L406" s="375"/>
      <c r="M406" s="375"/>
      <c r="N406" s="375"/>
      <c r="O406" s="375"/>
      <c r="P406" s="375"/>
      <c r="Q406" s="375"/>
      <c r="R406" s="375"/>
      <c r="S406" s="375"/>
      <c r="T406" s="375"/>
      <c r="U406" s="375"/>
      <c r="V406" s="375"/>
      <c r="W406" s="375"/>
      <c r="X406" s="375"/>
      <c r="Y406" s="375"/>
      <c r="Z406" s="375"/>
      <c r="AA406" s="375"/>
      <c r="AB406" s="375"/>
      <c r="AC406" s="396"/>
      <c r="AD406" s="360"/>
      <c r="AE406" s="360"/>
      <c r="AF406" s="360"/>
      <c r="AG406" s="360"/>
      <c r="AH406" s="360"/>
      <c r="AI406" s="360"/>
    </row>
    <row r="407" spans="1:35" hidden="1" x14ac:dyDescent="0.25">
      <c r="A407" s="390"/>
      <c r="B407" s="369"/>
      <c r="C407" s="369"/>
      <c r="D407" s="369"/>
      <c r="E407" s="382"/>
      <c r="F407" s="383"/>
      <c r="G407" s="384"/>
      <c r="H407" s="421"/>
      <c r="I407" s="375"/>
      <c r="J407" s="375"/>
      <c r="K407" s="375"/>
      <c r="L407" s="375"/>
      <c r="M407" s="375"/>
      <c r="N407" s="375"/>
      <c r="O407" s="375"/>
      <c r="P407" s="375"/>
      <c r="Q407" s="375"/>
      <c r="R407" s="375"/>
      <c r="S407" s="375"/>
      <c r="T407" s="375"/>
      <c r="U407" s="375"/>
      <c r="V407" s="375"/>
      <c r="W407" s="375"/>
      <c r="X407" s="375"/>
      <c r="Y407" s="375"/>
      <c r="Z407" s="375"/>
      <c r="AA407" s="375"/>
      <c r="AB407" s="375"/>
      <c r="AC407" s="396"/>
      <c r="AD407" s="360"/>
      <c r="AE407" s="360"/>
      <c r="AF407" s="360"/>
      <c r="AG407" s="360"/>
      <c r="AH407" s="360"/>
      <c r="AI407" s="360"/>
    </row>
    <row r="408" spans="1:35" hidden="1" x14ac:dyDescent="0.25">
      <c r="A408" s="390"/>
      <c r="B408" s="369"/>
      <c r="C408" s="369"/>
      <c r="D408" s="369"/>
      <c r="E408" s="382"/>
      <c r="F408" s="383"/>
      <c r="G408" s="384"/>
      <c r="H408" s="421"/>
      <c r="I408" s="375"/>
      <c r="J408" s="375"/>
      <c r="K408" s="375"/>
      <c r="L408" s="375"/>
      <c r="M408" s="375"/>
      <c r="N408" s="375"/>
      <c r="O408" s="375"/>
      <c r="P408" s="375"/>
      <c r="Q408" s="375"/>
      <c r="R408" s="375"/>
      <c r="S408" s="375"/>
      <c r="T408" s="375"/>
      <c r="U408" s="375"/>
      <c r="V408" s="375"/>
      <c r="W408" s="375"/>
      <c r="X408" s="375"/>
      <c r="Y408" s="375"/>
      <c r="Z408" s="375"/>
      <c r="AA408" s="375"/>
      <c r="AB408" s="375"/>
      <c r="AC408" s="396"/>
      <c r="AD408" s="360"/>
      <c r="AE408" s="360"/>
      <c r="AF408" s="360"/>
      <c r="AG408" s="360"/>
      <c r="AH408" s="360"/>
      <c r="AI408" s="360"/>
    </row>
    <row r="409" spans="1:35" hidden="1" x14ac:dyDescent="0.25">
      <c r="A409" s="390"/>
      <c r="B409" s="369"/>
      <c r="C409" s="369"/>
      <c r="D409" s="369"/>
      <c r="E409" s="382"/>
      <c r="F409" s="383"/>
      <c r="G409" s="384"/>
      <c r="H409" s="421"/>
      <c r="I409" s="375"/>
      <c r="J409" s="375"/>
      <c r="K409" s="375"/>
      <c r="L409" s="375"/>
      <c r="M409" s="375"/>
      <c r="N409" s="375"/>
      <c r="O409" s="375"/>
      <c r="P409" s="375"/>
      <c r="Q409" s="375"/>
      <c r="R409" s="375"/>
      <c r="S409" s="375"/>
      <c r="T409" s="375"/>
      <c r="U409" s="375"/>
      <c r="V409" s="375"/>
      <c r="W409" s="375"/>
      <c r="X409" s="375"/>
      <c r="Y409" s="375"/>
      <c r="Z409" s="375"/>
      <c r="AA409" s="375"/>
      <c r="AB409" s="375"/>
      <c r="AC409" s="396"/>
      <c r="AD409" s="360"/>
      <c r="AE409" s="360"/>
      <c r="AF409" s="360"/>
      <c r="AG409" s="360"/>
      <c r="AH409" s="360"/>
      <c r="AI409" s="360"/>
    </row>
    <row r="410" spans="1:35" s="386" customFormat="1" hidden="1" x14ac:dyDescent="0.25">
      <c r="A410" s="409"/>
      <c r="B410" s="406"/>
      <c r="C410" s="406"/>
      <c r="D410" s="406"/>
      <c r="E410" s="406">
        <v>2014</v>
      </c>
      <c r="F410" s="406">
        <v>2015</v>
      </c>
      <c r="G410" s="406">
        <v>2016</v>
      </c>
      <c r="H410" s="406"/>
      <c r="I410" s="406"/>
      <c r="J410" s="406"/>
      <c r="K410" s="406"/>
      <c r="L410" s="406">
        <f>Table147[[#This Row],[Ambitious target 2030]]+Table147[[#This Row],[Ambitious target 2030]]*0.5</f>
        <v>0</v>
      </c>
      <c r="M410" s="406"/>
      <c r="N410" s="406"/>
      <c r="O410" s="406"/>
      <c r="P410" s="406"/>
      <c r="Q410" s="406">
        <f>Table147[[#This Row],[Red target]]-Table147[[#This Row],[Red target]]*0.5</f>
        <v>0</v>
      </c>
      <c r="R410" s="406"/>
      <c r="S410" s="406"/>
      <c r="T410" s="406"/>
      <c r="U410" s="406"/>
      <c r="V410" s="406"/>
      <c r="W410" s="406"/>
      <c r="X410" s="406"/>
      <c r="Y410" s="406"/>
      <c r="Z410" s="406"/>
      <c r="AA410" s="406"/>
      <c r="AB410" s="406"/>
      <c r="AC410" s="413"/>
    </row>
    <row r="411" spans="1:35" hidden="1" x14ac:dyDescent="0.25">
      <c r="A411" s="418" t="s">
        <v>801</v>
      </c>
      <c r="B411" s="437" t="s">
        <v>800</v>
      </c>
      <c r="C411" s="437" t="s">
        <v>645</v>
      </c>
      <c r="D411" s="436" t="s">
        <v>904</v>
      </c>
      <c r="E411" s="420">
        <v>4.54</v>
      </c>
      <c r="F411" s="420">
        <v>4.5</v>
      </c>
      <c r="G411" s="420">
        <v>4.46</v>
      </c>
      <c r="H411" s="421">
        <v>2015</v>
      </c>
      <c r="I411" s="421">
        <v>4.54</v>
      </c>
      <c r="J411" s="421">
        <v>2015</v>
      </c>
      <c r="K411" s="411">
        <v>4.8656300000000003</v>
      </c>
      <c r="L411" s="411">
        <f>Table147[[#This Row],[Ambitious target 2030]]-Table147[[#This Row],[Ambitious target 2030]]*0.5</f>
        <v>2.1564999999999999</v>
      </c>
      <c r="M411" s="421">
        <f>Table147[[#This Row],[Data reference value]]+Table147[[#This Row],[Data reference value]]*Table147[[#This Row],[Ambitious target improvement rate 2030]]</f>
        <v>4.3129999999999997</v>
      </c>
      <c r="N411" s="421">
        <v>-0.05</v>
      </c>
      <c r="O411" s="421">
        <f>(Table147[[#This Row],[Ambitious target 2030]]-Table147[[#This Row],[Model reference value]])*0.5+Table147[[#This Row],[Model reference value]]</f>
        <v>4.589315</v>
      </c>
      <c r="P411" s="421"/>
      <c r="Q411" s="421">
        <f>Table147[[#This Row],[Red target]]+Table147[[#This Row],[Red target]]*0.5</f>
        <v>7.298445000000001</v>
      </c>
      <c r="R411" s="421"/>
      <c r="S411" s="421"/>
      <c r="T411" s="421"/>
      <c r="U411" s="421"/>
      <c r="V411" s="421"/>
      <c r="W411" s="421"/>
      <c r="X411" s="421"/>
      <c r="Y411" s="421"/>
      <c r="Z411" s="421">
        <f>Table147[[#This Row],[Model reference value]]</f>
        <v>4.8656300000000003</v>
      </c>
      <c r="AA411" s="421" t="s">
        <v>1140</v>
      </c>
      <c r="AB411" s="421"/>
      <c r="AC411" s="419" t="s">
        <v>803</v>
      </c>
      <c r="AD411" s="360"/>
      <c r="AE411" s="360"/>
      <c r="AF411" s="360"/>
      <c r="AG411" s="360"/>
      <c r="AH411" s="360"/>
      <c r="AI411" s="360"/>
    </row>
    <row r="412" spans="1:35" hidden="1" x14ac:dyDescent="0.25">
      <c r="A412" s="390"/>
      <c r="B412" s="369"/>
      <c r="C412" s="369"/>
      <c r="D412" s="369" t="s">
        <v>796</v>
      </c>
      <c r="E412" s="379">
        <v>15.86</v>
      </c>
      <c r="F412" s="380">
        <v>15.38</v>
      </c>
      <c r="G412" s="381">
        <v>15.02</v>
      </c>
      <c r="H412" s="421"/>
      <c r="I412" s="375"/>
      <c r="J412" s="375"/>
      <c r="K412" s="375"/>
      <c r="L412" s="375">
        <f>Table147[[#This Row],[Ambitious target 2030]]+Table147[[#This Row],[Ambitious target 2030]]*0.5</f>
        <v>0</v>
      </c>
      <c r="M412" s="375"/>
      <c r="N412" s="375"/>
      <c r="O412" s="375"/>
      <c r="P412" s="375"/>
      <c r="Q412" s="375">
        <f>Table147[[#This Row],[Red target]]-Table147[[#This Row],[Red target]]*0.5</f>
        <v>0</v>
      </c>
      <c r="R412" s="375"/>
      <c r="S412" s="375"/>
      <c r="T412" s="375"/>
      <c r="U412" s="375"/>
      <c r="V412" s="375"/>
      <c r="W412" s="375"/>
      <c r="X412" s="375"/>
      <c r="Y412" s="375"/>
      <c r="Z412" s="375"/>
      <c r="AA412" s="375"/>
      <c r="AB412" s="375"/>
      <c r="AC412" s="396"/>
      <c r="AD412" s="360"/>
      <c r="AE412" s="360"/>
      <c r="AF412" s="360"/>
      <c r="AG412" s="360"/>
      <c r="AH412" s="360"/>
      <c r="AI412" s="360"/>
    </row>
    <row r="413" spans="1:35" hidden="1" x14ac:dyDescent="0.25">
      <c r="A413" s="390"/>
      <c r="B413" s="369"/>
      <c r="C413" s="369"/>
      <c r="D413" s="369" t="s">
        <v>799</v>
      </c>
      <c r="E413" s="379">
        <v>9.26</v>
      </c>
      <c r="F413" s="380">
        <v>9.14</v>
      </c>
      <c r="G413" s="381">
        <v>9.0399999999999991</v>
      </c>
      <c r="H413" s="421"/>
      <c r="I413" s="375"/>
      <c r="J413" s="375"/>
      <c r="K413" s="375"/>
      <c r="L413" s="375">
        <f>Table147[[#This Row],[Ambitious target 2030]]+Table147[[#This Row],[Ambitious target 2030]]*0.5</f>
        <v>0</v>
      </c>
      <c r="M413" s="375"/>
      <c r="N413" s="375"/>
      <c r="O413" s="375"/>
      <c r="P413" s="375"/>
      <c r="Q413" s="375">
        <f>Table147[[#This Row],[Red target]]-Table147[[#This Row],[Red target]]*0.5</f>
        <v>0</v>
      </c>
      <c r="R413" s="375"/>
      <c r="S413" s="375"/>
      <c r="T413" s="375"/>
      <c r="U413" s="375"/>
      <c r="V413" s="375"/>
      <c r="W413" s="375"/>
      <c r="X413" s="375"/>
      <c r="Y413" s="375"/>
      <c r="Z413" s="375"/>
      <c r="AA413" s="375"/>
      <c r="AB413" s="375"/>
      <c r="AC413" s="396"/>
      <c r="AD413" s="360"/>
      <c r="AE413" s="360"/>
      <c r="AF413" s="360"/>
      <c r="AG413" s="360"/>
      <c r="AH413" s="360"/>
      <c r="AI413" s="360"/>
    </row>
    <row r="414" spans="1:35" hidden="1" x14ac:dyDescent="0.25">
      <c r="A414" s="390"/>
      <c r="B414" s="369"/>
      <c r="C414" s="369"/>
      <c r="D414" s="369" t="s">
        <v>797</v>
      </c>
      <c r="E414" s="379">
        <v>5.42</v>
      </c>
      <c r="F414" s="380">
        <v>5.52</v>
      </c>
      <c r="G414" s="381">
        <v>5.52</v>
      </c>
      <c r="H414" s="421"/>
      <c r="I414" s="375"/>
      <c r="J414" s="375"/>
      <c r="K414" s="375"/>
      <c r="L414" s="375">
        <f>Table147[[#This Row],[Ambitious target 2030]]+Table147[[#This Row],[Ambitious target 2030]]*0.5</f>
        <v>0</v>
      </c>
      <c r="M414" s="375"/>
      <c r="N414" s="375"/>
      <c r="O414" s="375"/>
      <c r="P414" s="375"/>
      <c r="Q414" s="375">
        <f>Table147[[#This Row],[Red target]]-Table147[[#This Row],[Red target]]*0.5</f>
        <v>0</v>
      </c>
      <c r="R414" s="375"/>
      <c r="S414" s="375"/>
      <c r="T414" s="375"/>
      <c r="U414" s="375"/>
      <c r="V414" s="375"/>
      <c r="W414" s="375"/>
      <c r="X414" s="375"/>
      <c r="Y414" s="375"/>
      <c r="Z414" s="375"/>
      <c r="AA414" s="375"/>
      <c r="AB414" s="375"/>
      <c r="AC414" s="396"/>
      <c r="AD414" s="360"/>
      <c r="AE414" s="360"/>
      <c r="AF414" s="360"/>
      <c r="AG414" s="360"/>
      <c r="AH414" s="360"/>
      <c r="AI414" s="360"/>
    </row>
    <row r="415" spans="1:35" hidden="1" x14ac:dyDescent="0.25">
      <c r="A415" s="390"/>
      <c r="B415" s="369"/>
      <c r="C415" s="369"/>
      <c r="D415" s="369" t="s">
        <v>795</v>
      </c>
      <c r="E415" s="379">
        <v>4.43</v>
      </c>
      <c r="F415" s="380">
        <v>4.37</v>
      </c>
      <c r="G415" s="381">
        <v>4.32</v>
      </c>
      <c r="H415" s="421"/>
      <c r="I415" s="375"/>
      <c r="J415" s="375"/>
      <c r="K415" s="375"/>
      <c r="L415" s="375">
        <f>Table147[[#This Row],[Ambitious target 2030]]+Table147[[#This Row],[Ambitious target 2030]]*0.5</f>
        <v>0</v>
      </c>
      <c r="M415" s="375"/>
      <c r="N415" s="375"/>
      <c r="O415" s="375"/>
      <c r="P415" s="375"/>
      <c r="Q415" s="375">
        <f>Table147[[#This Row],[Red target]]-Table147[[#This Row],[Red target]]*0.5</f>
        <v>0</v>
      </c>
      <c r="R415" s="375"/>
      <c r="S415" s="375"/>
      <c r="T415" s="375"/>
      <c r="U415" s="375"/>
      <c r="V415" s="375"/>
      <c r="W415" s="375"/>
      <c r="X415" s="375"/>
      <c r="Y415" s="375"/>
      <c r="Z415" s="375"/>
      <c r="AA415" s="375"/>
      <c r="AB415" s="375"/>
      <c r="AC415" s="396"/>
      <c r="AD415" s="360"/>
      <c r="AE415" s="360"/>
      <c r="AF415" s="360"/>
      <c r="AG415" s="360"/>
      <c r="AH415" s="360"/>
      <c r="AI415" s="360"/>
    </row>
    <row r="416" spans="1:35" hidden="1" x14ac:dyDescent="0.25">
      <c r="A416" s="390"/>
      <c r="B416" s="369"/>
      <c r="C416" s="369"/>
      <c r="D416" s="369" t="s">
        <v>794</v>
      </c>
      <c r="E416" s="379">
        <v>2.91</v>
      </c>
      <c r="F416" s="380">
        <v>2.89</v>
      </c>
      <c r="G416" s="381">
        <v>2.86</v>
      </c>
      <c r="H416" s="421"/>
      <c r="I416" s="375"/>
      <c r="J416" s="375"/>
      <c r="K416" s="375"/>
      <c r="L416" s="375">
        <f>Table147[[#This Row],[Ambitious target 2030]]+Table147[[#This Row],[Ambitious target 2030]]*0.5</f>
        <v>0</v>
      </c>
      <c r="M416" s="375"/>
      <c r="N416" s="375"/>
      <c r="O416" s="375"/>
      <c r="P416" s="375"/>
      <c r="Q416" s="375">
        <f>Table147[[#This Row],[Red target]]-Table147[[#This Row],[Red target]]*0.5</f>
        <v>0</v>
      </c>
      <c r="R416" s="375"/>
      <c r="S416" s="375"/>
      <c r="T416" s="375"/>
      <c r="U416" s="375"/>
      <c r="V416" s="375"/>
      <c r="W416" s="375"/>
      <c r="X416" s="375"/>
      <c r="Y416" s="375"/>
      <c r="Z416" s="375"/>
      <c r="AA416" s="375"/>
      <c r="AB416" s="375"/>
      <c r="AC416" s="396"/>
      <c r="AD416" s="360"/>
      <c r="AE416" s="360"/>
      <c r="AF416" s="360"/>
      <c r="AG416" s="360"/>
      <c r="AH416" s="360"/>
      <c r="AI416" s="360"/>
    </row>
    <row r="417" spans="1:35" hidden="1" x14ac:dyDescent="0.25">
      <c r="A417" s="390"/>
      <c r="B417" s="369"/>
      <c r="C417" s="369"/>
      <c r="D417" s="369" t="s">
        <v>789</v>
      </c>
      <c r="E417" s="382">
        <v>2.77</v>
      </c>
      <c r="F417" s="383">
        <v>1.43</v>
      </c>
      <c r="G417" s="384">
        <v>1.39</v>
      </c>
      <c r="H417" s="421"/>
      <c r="I417" s="375"/>
      <c r="J417" s="375"/>
      <c r="K417" s="375"/>
      <c r="L417" s="375">
        <f>Table147[[#This Row],[Ambitious target 2030]]+Table147[[#This Row],[Ambitious target 2030]]*0.5</f>
        <v>0</v>
      </c>
      <c r="M417" s="375"/>
      <c r="N417" s="375"/>
      <c r="O417" s="375"/>
      <c r="P417" s="375"/>
      <c r="Q417" s="375">
        <f>Table147[[#This Row],[Red target]]-Table147[[#This Row],[Red target]]*0.5</f>
        <v>0</v>
      </c>
      <c r="R417" s="375"/>
      <c r="S417" s="375"/>
      <c r="T417" s="375"/>
      <c r="U417" s="375"/>
      <c r="V417" s="375"/>
      <c r="W417" s="375"/>
      <c r="X417" s="375"/>
      <c r="Y417" s="375"/>
      <c r="Z417" s="375"/>
      <c r="AA417" s="375"/>
      <c r="AB417" s="375"/>
      <c r="AC417" s="396"/>
      <c r="AD417" s="360"/>
      <c r="AE417" s="360"/>
      <c r="AF417" s="360"/>
      <c r="AG417" s="360"/>
      <c r="AH417" s="360"/>
      <c r="AI417" s="360"/>
    </row>
    <row r="418" spans="1:35" hidden="1" x14ac:dyDescent="0.25">
      <c r="A418" s="390"/>
      <c r="B418" s="369"/>
      <c r="C418" s="369"/>
      <c r="D418" s="369" t="s">
        <v>793</v>
      </c>
      <c r="E418" s="382">
        <v>1.31</v>
      </c>
      <c r="F418" s="383">
        <v>1.31</v>
      </c>
      <c r="G418" s="384">
        <v>1.32</v>
      </c>
      <c r="H418" s="421"/>
      <c r="I418" s="375"/>
      <c r="J418" s="375"/>
      <c r="K418" s="375"/>
      <c r="L418" s="375">
        <f>Table147[[#This Row],[Ambitious target 2030]]+Table147[[#This Row],[Ambitious target 2030]]*0.5</f>
        <v>0</v>
      </c>
      <c r="M418" s="375"/>
      <c r="N418" s="375"/>
      <c r="O418" s="375"/>
      <c r="P418" s="375"/>
      <c r="Q418" s="375">
        <f>Table147[[#This Row],[Red target]]-Table147[[#This Row],[Red target]]*0.5</f>
        <v>0</v>
      </c>
      <c r="R418" s="375"/>
      <c r="S418" s="375"/>
      <c r="T418" s="375"/>
      <c r="U418" s="375"/>
      <c r="V418" s="375"/>
      <c r="W418" s="375"/>
      <c r="X418" s="375"/>
      <c r="Y418" s="375"/>
      <c r="Z418" s="375"/>
      <c r="AA418" s="375"/>
      <c r="AB418" s="375"/>
      <c r="AC418" s="396"/>
      <c r="AD418" s="360"/>
      <c r="AE418" s="360"/>
      <c r="AF418" s="360"/>
      <c r="AG418" s="360"/>
      <c r="AH418" s="360"/>
      <c r="AI418" s="360"/>
    </row>
    <row r="419" spans="1:35" hidden="1" x14ac:dyDescent="0.25">
      <c r="A419" s="390"/>
      <c r="B419" s="369"/>
      <c r="C419" s="369"/>
      <c r="D419" s="369" t="s">
        <v>791</v>
      </c>
      <c r="E419" s="382">
        <v>0.82</v>
      </c>
      <c r="F419" s="383">
        <v>0.83</v>
      </c>
      <c r="G419" s="384">
        <v>0.82</v>
      </c>
      <c r="H419" s="421"/>
      <c r="I419" s="375"/>
      <c r="J419" s="375"/>
      <c r="K419" s="375"/>
      <c r="L419" s="375">
        <f>Table147[[#This Row],[Ambitious target 2030]]+Table147[[#This Row],[Ambitious target 2030]]*0.5</f>
        <v>0</v>
      </c>
      <c r="M419" s="375"/>
      <c r="N419" s="375"/>
      <c r="O419" s="375"/>
      <c r="P419" s="375"/>
      <c r="Q419" s="375">
        <f>Table147[[#This Row],[Red target]]-Table147[[#This Row],[Red target]]*0.5</f>
        <v>0</v>
      </c>
      <c r="R419" s="375"/>
      <c r="S419" s="375"/>
      <c r="T419" s="375"/>
      <c r="U419" s="375"/>
      <c r="V419" s="375"/>
      <c r="W419" s="375"/>
      <c r="X419" s="375"/>
      <c r="Y419" s="375"/>
      <c r="Z419" s="375"/>
      <c r="AA419" s="375"/>
      <c r="AB419" s="375"/>
      <c r="AC419" s="396"/>
      <c r="AD419" s="360"/>
      <c r="AE419" s="360"/>
      <c r="AF419" s="360"/>
      <c r="AG419" s="360"/>
      <c r="AH419" s="360"/>
      <c r="AI419" s="360"/>
    </row>
    <row r="420" spans="1:35" hidden="1" x14ac:dyDescent="0.25">
      <c r="A420" s="390"/>
      <c r="B420" s="369"/>
      <c r="C420" s="369"/>
      <c r="D420" s="369" t="s">
        <v>790</v>
      </c>
      <c r="E420" s="382">
        <v>0.39</v>
      </c>
      <c r="F420" s="383">
        <v>0.37</v>
      </c>
      <c r="G420" s="384">
        <v>0.25</v>
      </c>
      <c r="H420" s="421"/>
      <c r="I420" s="375"/>
      <c r="J420" s="375"/>
      <c r="K420" s="375"/>
      <c r="L420" s="375">
        <f>Table147[[#This Row],[Ambitious target 2030]]+Table147[[#This Row],[Ambitious target 2030]]*0.5</f>
        <v>0</v>
      </c>
      <c r="M420" s="375"/>
      <c r="N420" s="375"/>
      <c r="O420" s="375"/>
      <c r="P420" s="375"/>
      <c r="Q420" s="375">
        <f>Table147[[#This Row],[Red target]]-Table147[[#This Row],[Red target]]*0.5</f>
        <v>0</v>
      </c>
      <c r="R420" s="375"/>
      <c r="S420" s="375"/>
      <c r="T420" s="375"/>
      <c r="U420" s="375"/>
      <c r="V420" s="375"/>
      <c r="W420" s="375"/>
      <c r="X420" s="375"/>
      <c r="Y420" s="375"/>
      <c r="Z420" s="375"/>
      <c r="AA420" s="375"/>
      <c r="AB420" s="375"/>
      <c r="AC420" s="396"/>
      <c r="AD420" s="360"/>
      <c r="AE420" s="360"/>
      <c r="AF420" s="360"/>
      <c r="AG420" s="360"/>
      <c r="AH420" s="360"/>
      <c r="AI420" s="360"/>
    </row>
    <row r="421" spans="1:35" hidden="1" x14ac:dyDescent="0.25">
      <c r="A421" s="390"/>
      <c r="B421" s="369"/>
      <c r="C421" s="369"/>
      <c r="D421" s="369" t="s">
        <v>798</v>
      </c>
      <c r="E421" s="382">
        <v>0.15</v>
      </c>
      <c r="F421" s="383">
        <v>0.16</v>
      </c>
      <c r="G421" s="384">
        <v>0.11</v>
      </c>
      <c r="H421" s="421"/>
      <c r="I421" s="375"/>
      <c r="J421" s="375"/>
      <c r="K421" s="375"/>
      <c r="L421" s="375">
        <f>Table147[[#This Row],[Ambitious target 2030]]+Table147[[#This Row],[Ambitious target 2030]]*0.5</f>
        <v>0</v>
      </c>
      <c r="M421" s="375"/>
      <c r="N421" s="375"/>
      <c r="O421" s="375"/>
      <c r="P421" s="375"/>
      <c r="Q421" s="375">
        <f>Table147[[#This Row],[Red target]]-Table147[[#This Row],[Red target]]*0.5</f>
        <v>0</v>
      </c>
      <c r="R421" s="375"/>
      <c r="S421" s="375"/>
      <c r="T421" s="375"/>
      <c r="U421" s="375"/>
      <c r="V421" s="375"/>
      <c r="W421" s="375"/>
      <c r="X421" s="375"/>
      <c r="Y421" s="375"/>
      <c r="Z421" s="375"/>
      <c r="AA421" s="375"/>
      <c r="AB421" s="375"/>
      <c r="AC421" s="396"/>
      <c r="AD421" s="360"/>
      <c r="AE421" s="360"/>
      <c r="AF421" s="360"/>
      <c r="AG421" s="360"/>
      <c r="AH421" s="360"/>
      <c r="AI421" s="360"/>
    </row>
    <row r="422" spans="1:35" s="386" customFormat="1" hidden="1" x14ac:dyDescent="0.25">
      <c r="A422" s="409"/>
      <c r="B422" s="406"/>
      <c r="C422" s="406"/>
      <c r="D422" s="406"/>
      <c r="E422" s="407">
        <v>2012</v>
      </c>
      <c r="F422" s="407">
        <v>2013</v>
      </c>
      <c r="G422" s="407">
        <v>2014</v>
      </c>
      <c r="H422" s="407"/>
      <c r="I422" s="407"/>
      <c r="J422" s="407"/>
      <c r="K422" s="407"/>
      <c r="L422" s="407">
        <f>Table147[[#This Row],[Ambitious target 2030]]+Table147[[#This Row],[Ambitious target 2030]]*0.5</f>
        <v>0</v>
      </c>
      <c r="M422" s="407"/>
      <c r="N422" s="407"/>
      <c r="O422" s="407"/>
      <c r="P422" s="407"/>
      <c r="Q422" s="407">
        <f>Table147[[#This Row],[Red target]]-Table147[[#This Row],[Red target]]*0.5</f>
        <v>0</v>
      </c>
      <c r="R422" s="407"/>
      <c r="S422" s="407"/>
      <c r="T422" s="407"/>
      <c r="U422" s="407"/>
      <c r="V422" s="407"/>
      <c r="W422" s="407"/>
      <c r="X422" s="407"/>
      <c r="Y422" s="407"/>
      <c r="Z422" s="407"/>
      <c r="AA422" s="407"/>
      <c r="AB422" s="407"/>
      <c r="AC422" s="413"/>
    </row>
    <row r="423" spans="1:35" hidden="1" x14ac:dyDescent="0.25">
      <c r="A423" s="418" t="s">
        <v>621</v>
      </c>
      <c r="B423" s="437" t="s">
        <v>657</v>
      </c>
      <c r="C423" s="437" t="s">
        <v>645</v>
      </c>
      <c r="D423" s="436" t="s">
        <v>904</v>
      </c>
      <c r="E423" s="420">
        <v>5.00593781609368</v>
      </c>
      <c r="F423" s="420">
        <v>4.99852018932752</v>
      </c>
      <c r="G423" s="420">
        <v>4.9816855938225997</v>
      </c>
      <c r="H423" s="421">
        <v>2014</v>
      </c>
      <c r="I423" s="421">
        <v>4.9816855938225997</v>
      </c>
      <c r="J423" s="421">
        <v>2015</v>
      </c>
      <c r="K423" s="411">
        <v>4.4921699999999998</v>
      </c>
      <c r="L423" s="411">
        <f>Table147[[#This Row],[Ambitious target 2030]]-Table147[[#This Row],[Ambitious target 2030]]*0.5</f>
        <v>1.7435899578379099</v>
      </c>
      <c r="M423" s="421">
        <f>Table147[[#This Row],[Data reference value]]+Table147[[#This Row],[Data reference value]]*Table147[[#This Row],[Ambitious target improvement rate 2030]]</f>
        <v>3.4871799156758199</v>
      </c>
      <c r="N423" s="421">
        <v>-0.3</v>
      </c>
      <c r="O423" s="421">
        <f>(Table147[[#This Row],[Ambitious target 2030]]-Table147[[#This Row],[Model reference value]])*0.5+Table147[[#This Row],[Model reference value]]</f>
        <v>3.9896749578379098</v>
      </c>
      <c r="P423" s="421"/>
      <c r="Q423" s="421">
        <f>Table147[[#This Row],[Red target]]+Table147[[#This Row],[Red target]]*0.5</f>
        <v>6.7382549999999997</v>
      </c>
      <c r="R423" s="421"/>
      <c r="S423" s="421"/>
      <c r="T423" s="421"/>
      <c r="U423" s="421"/>
      <c r="V423" s="421"/>
      <c r="W423" s="421"/>
      <c r="X423" s="421"/>
      <c r="Y423" s="421"/>
      <c r="Z423" s="421">
        <f>Table147[[#This Row],[Model reference value]]</f>
        <v>4.4921699999999998</v>
      </c>
      <c r="AA423" s="421" t="s">
        <v>1140</v>
      </c>
      <c r="AB423" s="421"/>
      <c r="AC423" s="371" t="s">
        <v>1117</v>
      </c>
      <c r="AD423" s="360"/>
      <c r="AE423" s="360"/>
      <c r="AF423" s="360"/>
      <c r="AG423" s="360"/>
      <c r="AH423" s="360"/>
      <c r="AI423" s="360"/>
    </row>
    <row r="424" spans="1:35" hidden="1" x14ac:dyDescent="0.25">
      <c r="A424" s="390"/>
      <c r="B424" s="369"/>
      <c r="C424" s="369"/>
      <c r="D424" s="369"/>
      <c r="E424" s="379"/>
      <c r="F424" s="380"/>
      <c r="G424" s="381"/>
      <c r="H424" s="421"/>
      <c r="I424" s="375"/>
      <c r="J424" s="375"/>
      <c r="K424" s="375"/>
      <c r="L424" s="375">
        <f>Table147[[#This Row],[Ambitious target 2030]]+Table147[[#This Row],[Ambitious target 2030]]*0.5</f>
        <v>0</v>
      </c>
      <c r="M424" s="375"/>
      <c r="N424" s="375"/>
      <c r="O424" s="375"/>
      <c r="P424" s="375"/>
      <c r="Q424" s="375">
        <f>Table147[[#This Row],[Red target]]-Table147[[#This Row],[Red target]]*0.5</f>
        <v>0</v>
      </c>
      <c r="R424" s="375"/>
      <c r="S424" s="375"/>
      <c r="T424" s="375"/>
      <c r="U424" s="375"/>
      <c r="V424" s="375"/>
      <c r="W424" s="375"/>
      <c r="X424" s="375"/>
      <c r="Y424" s="375"/>
      <c r="Z424" s="375"/>
      <c r="AA424" s="375"/>
      <c r="AB424" s="375"/>
      <c r="AC424" s="396"/>
      <c r="AD424" s="360"/>
      <c r="AE424" s="360"/>
      <c r="AF424" s="360"/>
      <c r="AG424" s="360"/>
      <c r="AH424" s="360"/>
      <c r="AI424" s="360"/>
    </row>
    <row r="425" spans="1:35" hidden="1" x14ac:dyDescent="0.25">
      <c r="A425" s="390"/>
      <c r="B425" s="369"/>
      <c r="C425" s="369"/>
      <c r="D425" s="369"/>
      <c r="E425" s="379"/>
      <c r="F425" s="380"/>
      <c r="G425" s="381"/>
      <c r="H425" s="421"/>
      <c r="I425" s="375"/>
      <c r="J425" s="375"/>
      <c r="K425" s="375"/>
      <c r="L425" s="375">
        <f>Table147[[#This Row],[Ambitious target 2030]]+Table147[[#This Row],[Ambitious target 2030]]*0.5</f>
        <v>0</v>
      </c>
      <c r="M425" s="375"/>
      <c r="N425" s="375"/>
      <c r="O425" s="375"/>
      <c r="P425" s="375"/>
      <c r="Q425" s="375">
        <f>Table147[[#This Row],[Red target]]-Table147[[#This Row],[Red target]]*0.5</f>
        <v>0</v>
      </c>
      <c r="R425" s="375"/>
      <c r="S425" s="375"/>
      <c r="T425" s="375"/>
      <c r="U425" s="375"/>
      <c r="V425" s="375"/>
      <c r="W425" s="375"/>
      <c r="X425" s="375"/>
      <c r="Y425" s="375"/>
      <c r="Z425" s="375"/>
      <c r="AA425" s="375"/>
      <c r="AB425" s="375"/>
      <c r="AC425" s="396"/>
      <c r="AD425" s="360"/>
      <c r="AE425" s="360"/>
      <c r="AF425" s="360"/>
      <c r="AG425" s="360"/>
      <c r="AH425" s="360"/>
      <c r="AI425" s="360"/>
    </row>
    <row r="426" spans="1:35" hidden="1" x14ac:dyDescent="0.25">
      <c r="A426" s="390"/>
      <c r="B426" s="369"/>
      <c r="C426" s="369"/>
      <c r="D426" s="369"/>
      <c r="E426" s="379"/>
      <c r="F426" s="380"/>
      <c r="G426" s="381"/>
      <c r="H426" s="421"/>
      <c r="I426" s="375"/>
      <c r="J426" s="375"/>
      <c r="K426" s="375"/>
      <c r="L426" s="375">
        <f>Table147[[#This Row],[Ambitious target 2030]]+Table147[[#This Row],[Ambitious target 2030]]*0.5</f>
        <v>0</v>
      </c>
      <c r="M426" s="375"/>
      <c r="N426" s="375"/>
      <c r="O426" s="375"/>
      <c r="P426" s="375"/>
      <c r="Q426" s="375">
        <f>Table147[[#This Row],[Red target]]-Table147[[#This Row],[Red target]]*0.5</f>
        <v>0</v>
      </c>
      <c r="R426" s="375"/>
      <c r="S426" s="375"/>
      <c r="T426" s="375"/>
      <c r="U426" s="375"/>
      <c r="V426" s="375"/>
      <c r="W426" s="375"/>
      <c r="X426" s="375"/>
      <c r="Y426" s="375"/>
      <c r="Z426" s="375"/>
      <c r="AA426" s="375"/>
      <c r="AB426" s="375"/>
      <c r="AC426" s="396"/>
      <c r="AD426" s="360"/>
      <c r="AE426" s="360"/>
      <c r="AF426" s="360"/>
      <c r="AG426" s="360"/>
      <c r="AH426" s="360"/>
      <c r="AI426" s="360"/>
    </row>
    <row r="427" spans="1:35" hidden="1" x14ac:dyDescent="0.25">
      <c r="A427" s="390"/>
      <c r="B427" s="369"/>
      <c r="C427" s="369"/>
      <c r="D427" s="369"/>
      <c r="E427" s="379"/>
      <c r="F427" s="380"/>
      <c r="G427" s="381"/>
      <c r="H427" s="421"/>
      <c r="I427" s="375"/>
      <c r="J427" s="375"/>
      <c r="K427" s="375"/>
      <c r="L427" s="375">
        <f>Table147[[#This Row],[Ambitious target 2030]]+Table147[[#This Row],[Ambitious target 2030]]*0.5</f>
        <v>0</v>
      </c>
      <c r="M427" s="375"/>
      <c r="N427" s="375"/>
      <c r="O427" s="375"/>
      <c r="P427" s="375"/>
      <c r="Q427" s="375">
        <f>Table147[[#This Row],[Red target]]-Table147[[#This Row],[Red target]]*0.5</f>
        <v>0</v>
      </c>
      <c r="R427" s="375"/>
      <c r="S427" s="375"/>
      <c r="T427" s="375"/>
      <c r="U427" s="375"/>
      <c r="V427" s="375"/>
      <c r="W427" s="375"/>
      <c r="X427" s="375"/>
      <c r="Y427" s="375"/>
      <c r="Z427" s="375"/>
      <c r="AA427" s="375"/>
      <c r="AB427" s="375"/>
      <c r="AC427" s="396"/>
      <c r="AD427" s="360"/>
      <c r="AE427" s="360"/>
      <c r="AF427" s="360"/>
      <c r="AG427" s="360"/>
      <c r="AH427" s="360"/>
      <c r="AI427" s="360"/>
    </row>
    <row r="428" spans="1:35" hidden="1" x14ac:dyDescent="0.25">
      <c r="A428" s="390"/>
      <c r="B428" s="369"/>
      <c r="C428" s="369"/>
      <c r="D428" s="369"/>
      <c r="E428" s="379"/>
      <c r="F428" s="380"/>
      <c r="G428" s="381"/>
      <c r="H428" s="421"/>
      <c r="I428" s="375"/>
      <c r="J428" s="375"/>
      <c r="K428" s="375"/>
      <c r="L428" s="375">
        <f>Table147[[#This Row],[Ambitious target 2030]]+Table147[[#This Row],[Ambitious target 2030]]*0.5</f>
        <v>0</v>
      </c>
      <c r="M428" s="375"/>
      <c r="N428" s="375"/>
      <c r="O428" s="375"/>
      <c r="P428" s="375"/>
      <c r="Q428" s="375">
        <f>Table147[[#This Row],[Red target]]-Table147[[#This Row],[Red target]]*0.5</f>
        <v>0</v>
      </c>
      <c r="R428" s="375"/>
      <c r="S428" s="375"/>
      <c r="T428" s="375"/>
      <c r="U428" s="375"/>
      <c r="V428" s="375"/>
      <c r="W428" s="375"/>
      <c r="X428" s="375"/>
      <c r="Y428" s="375"/>
      <c r="Z428" s="375"/>
      <c r="AA428" s="375"/>
      <c r="AB428" s="375"/>
      <c r="AC428" s="396"/>
      <c r="AD428" s="360"/>
      <c r="AE428" s="360"/>
      <c r="AF428" s="360"/>
      <c r="AG428" s="360"/>
      <c r="AH428" s="360"/>
      <c r="AI428" s="360"/>
    </row>
    <row r="429" spans="1:35" hidden="1" x14ac:dyDescent="0.25">
      <c r="A429" s="390"/>
      <c r="B429" s="369"/>
      <c r="C429" s="369"/>
      <c r="D429" s="369"/>
      <c r="E429" s="382"/>
      <c r="F429" s="383"/>
      <c r="G429" s="384"/>
      <c r="H429" s="421"/>
      <c r="I429" s="375"/>
      <c r="J429" s="375"/>
      <c r="K429" s="375"/>
      <c r="L429" s="375">
        <f>Table147[[#This Row],[Ambitious target 2030]]+Table147[[#This Row],[Ambitious target 2030]]*0.5</f>
        <v>0</v>
      </c>
      <c r="M429" s="375"/>
      <c r="N429" s="375"/>
      <c r="O429" s="375"/>
      <c r="P429" s="375"/>
      <c r="Q429" s="375">
        <f>Table147[[#This Row],[Red target]]-Table147[[#This Row],[Red target]]*0.5</f>
        <v>0</v>
      </c>
      <c r="R429" s="375"/>
      <c r="S429" s="375"/>
      <c r="T429" s="375"/>
      <c r="U429" s="375"/>
      <c r="V429" s="375"/>
      <c r="W429" s="375"/>
      <c r="X429" s="375"/>
      <c r="Y429" s="375"/>
      <c r="Z429" s="375"/>
      <c r="AA429" s="375"/>
      <c r="AB429" s="375"/>
      <c r="AC429" s="396"/>
      <c r="AD429" s="360"/>
      <c r="AE429" s="360"/>
      <c r="AF429" s="360"/>
      <c r="AG429" s="360"/>
      <c r="AH429" s="360"/>
      <c r="AI429" s="360"/>
    </row>
    <row r="430" spans="1:35" hidden="1" x14ac:dyDescent="0.25">
      <c r="A430" s="390"/>
      <c r="B430" s="369"/>
      <c r="C430" s="369"/>
      <c r="D430" s="369"/>
      <c r="E430" s="382"/>
      <c r="F430" s="383"/>
      <c r="G430" s="384"/>
      <c r="H430" s="421"/>
      <c r="I430" s="375"/>
      <c r="J430" s="375"/>
      <c r="K430" s="375"/>
      <c r="L430" s="375">
        <f>Table147[[#This Row],[Ambitious target 2030]]+Table147[[#This Row],[Ambitious target 2030]]*0.5</f>
        <v>0</v>
      </c>
      <c r="M430" s="375"/>
      <c r="N430" s="375"/>
      <c r="O430" s="375"/>
      <c r="P430" s="375"/>
      <c r="Q430" s="375">
        <f>Table147[[#This Row],[Red target]]-Table147[[#This Row],[Red target]]*0.5</f>
        <v>0</v>
      </c>
      <c r="R430" s="375"/>
      <c r="S430" s="375"/>
      <c r="T430" s="375"/>
      <c r="U430" s="375"/>
      <c r="V430" s="375"/>
      <c r="W430" s="375"/>
      <c r="X430" s="375"/>
      <c r="Y430" s="375"/>
      <c r="Z430" s="375"/>
      <c r="AA430" s="375"/>
      <c r="AB430" s="375"/>
      <c r="AC430" s="396"/>
      <c r="AD430" s="360"/>
      <c r="AE430" s="360"/>
      <c r="AF430" s="360"/>
      <c r="AG430" s="360"/>
      <c r="AH430" s="360"/>
      <c r="AI430" s="360"/>
    </row>
    <row r="431" spans="1:35" hidden="1" x14ac:dyDescent="0.25">
      <c r="A431" s="390"/>
      <c r="B431" s="369"/>
      <c r="C431" s="369"/>
      <c r="D431" s="369"/>
      <c r="E431" s="382"/>
      <c r="F431" s="383"/>
      <c r="G431" s="384"/>
      <c r="H431" s="421"/>
      <c r="I431" s="375"/>
      <c r="J431" s="375"/>
      <c r="K431" s="375"/>
      <c r="L431" s="375">
        <f>Table147[[#This Row],[Ambitious target 2030]]+Table147[[#This Row],[Ambitious target 2030]]*0.5</f>
        <v>0</v>
      </c>
      <c r="M431" s="375"/>
      <c r="N431" s="375"/>
      <c r="O431" s="375"/>
      <c r="P431" s="375"/>
      <c r="Q431" s="375">
        <f>Table147[[#This Row],[Red target]]-Table147[[#This Row],[Red target]]*0.5</f>
        <v>0</v>
      </c>
      <c r="R431" s="375"/>
      <c r="S431" s="375"/>
      <c r="T431" s="375"/>
      <c r="U431" s="375"/>
      <c r="V431" s="375"/>
      <c r="W431" s="375"/>
      <c r="X431" s="375"/>
      <c r="Y431" s="375"/>
      <c r="Z431" s="375"/>
      <c r="AA431" s="375"/>
      <c r="AB431" s="375"/>
      <c r="AC431" s="396"/>
      <c r="AD431" s="360"/>
      <c r="AE431" s="360"/>
      <c r="AF431" s="360"/>
      <c r="AG431" s="360"/>
      <c r="AH431" s="360"/>
      <c r="AI431" s="360"/>
    </row>
    <row r="432" spans="1:35" hidden="1" x14ac:dyDescent="0.25">
      <c r="A432" s="390"/>
      <c r="B432" s="369"/>
      <c r="C432" s="369"/>
      <c r="D432" s="369"/>
      <c r="E432" s="382"/>
      <c r="F432" s="383"/>
      <c r="G432" s="384"/>
      <c r="H432" s="421"/>
      <c r="I432" s="375"/>
      <c r="J432" s="375"/>
      <c r="K432" s="375"/>
      <c r="L432" s="375">
        <f>Table147[[#This Row],[Ambitious target 2030]]+Table147[[#This Row],[Ambitious target 2030]]*0.5</f>
        <v>0</v>
      </c>
      <c r="M432" s="375"/>
      <c r="N432" s="375"/>
      <c r="O432" s="375"/>
      <c r="P432" s="375"/>
      <c r="Q432" s="375">
        <f>Table147[[#This Row],[Red target]]-Table147[[#This Row],[Red target]]*0.5</f>
        <v>0</v>
      </c>
      <c r="R432" s="375"/>
      <c r="S432" s="375"/>
      <c r="T432" s="375"/>
      <c r="U432" s="375"/>
      <c r="V432" s="375"/>
      <c r="W432" s="375"/>
      <c r="X432" s="375"/>
      <c r="Y432" s="375"/>
      <c r="Z432" s="375"/>
      <c r="AA432" s="375"/>
      <c r="AB432" s="375"/>
      <c r="AC432" s="396"/>
      <c r="AD432" s="360"/>
      <c r="AE432" s="360"/>
      <c r="AF432" s="360"/>
      <c r="AG432" s="360"/>
      <c r="AH432" s="360"/>
      <c r="AI432" s="360"/>
    </row>
    <row r="433" spans="1:35" hidden="1" x14ac:dyDescent="0.25">
      <c r="A433" s="390"/>
      <c r="B433" s="369"/>
      <c r="C433" s="369"/>
      <c r="D433" s="369"/>
      <c r="E433" s="382"/>
      <c r="F433" s="383"/>
      <c r="G433" s="384"/>
      <c r="H433" s="421"/>
      <c r="I433" s="375"/>
      <c r="J433" s="375"/>
      <c r="K433" s="375"/>
      <c r="L433" s="375">
        <f>Table147[[#This Row],[Ambitious target 2030]]+Table147[[#This Row],[Ambitious target 2030]]*0.5</f>
        <v>0</v>
      </c>
      <c r="M433" s="375"/>
      <c r="N433" s="375"/>
      <c r="O433" s="375"/>
      <c r="P433" s="375"/>
      <c r="Q433" s="375">
        <f>Table147[[#This Row],[Red target]]-Table147[[#This Row],[Red target]]*0.5</f>
        <v>0</v>
      </c>
      <c r="R433" s="375"/>
      <c r="S433" s="375"/>
      <c r="T433" s="375"/>
      <c r="U433" s="375"/>
      <c r="V433" s="375"/>
      <c r="W433" s="375"/>
      <c r="X433" s="375"/>
      <c r="Y433" s="375"/>
      <c r="Z433" s="375"/>
      <c r="AA433" s="375"/>
      <c r="AB433" s="375"/>
      <c r="AC433" s="396"/>
      <c r="AD433" s="360"/>
      <c r="AE433" s="360"/>
      <c r="AF433" s="360"/>
      <c r="AG433" s="360"/>
      <c r="AH433" s="360"/>
      <c r="AI433" s="360"/>
    </row>
    <row r="434" spans="1:35" s="386" customFormat="1" hidden="1" x14ac:dyDescent="0.25">
      <c r="A434" s="409"/>
      <c r="B434" s="406"/>
      <c r="C434" s="406"/>
      <c r="D434" s="406"/>
      <c r="E434" s="407"/>
      <c r="F434" s="407"/>
      <c r="G434" s="407">
        <v>2011</v>
      </c>
      <c r="H434" s="407"/>
      <c r="I434" s="407"/>
      <c r="J434" s="407"/>
      <c r="K434" s="407"/>
      <c r="L434" s="407">
        <f>Table147[[#This Row],[Ambitious target 2030]]+Table147[[#This Row],[Ambitious target 2030]]*0.5</f>
        <v>0</v>
      </c>
      <c r="M434" s="407"/>
      <c r="N434" s="407"/>
      <c r="O434" s="407"/>
      <c r="P434" s="407"/>
      <c r="Q434" s="407">
        <f>Table147[[#This Row],[Red target]]-Table147[[#This Row],[Red target]]*0.5</f>
        <v>0</v>
      </c>
      <c r="R434" s="407"/>
      <c r="S434" s="407"/>
      <c r="T434" s="407"/>
      <c r="U434" s="407"/>
      <c r="V434" s="407"/>
      <c r="W434" s="407"/>
      <c r="X434" s="407"/>
      <c r="Y434" s="407"/>
      <c r="Z434" s="407"/>
      <c r="AA434" s="407"/>
      <c r="AB434" s="407"/>
      <c r="AC434" s="413"/>
    </row>
    <row r="435" spans="1:35" x14ac:dyDescent="0.25">
      <c r="A435" s="429" t="s">
        <v>622</v>
      </c>
      <c r="B435" s="438" t="s">
        <v>505</v>
      </c>
      <c r="C435" s="438" t="s">
        <v>498</v>
      </c>
      <c r="D435" s="436" t="s">
        <v>904</v>
      </c>
      <c r="E435" s="420"/>
      <c r="F435" s="420"/>
      <c r="G435" s="420">
        <v>2.83</v>
      </c>
      <c r="H435" s="421">
        <v>2011</v>
      </c>
      <c r="I435" s="430">
        <v>2.83</v>
      </c>
      <c r="J435" s="430">
        <v>2015</v>
      </c>
      <c r="K435" s="430">
        <v>2.3928400000000001</v>
      </c>
      <c r="L435" s="430">
        <v>2.8439038999999999</v>
      </c>
      <c r="M435" s="430">
        <v>2.9313248999999999</v>
      </c>
      <c r="N435" s="430"/>
      <c r="O435" s="430">
        <f>3.0217489</f>
        <v>3.0217489</v>
      </c>
      <c r="P435" s="430"/>
      <c r="Q435" s="430">
        <v>3.3364218999999999</v>
      </c>
      <c r="R435" s="430"/>
      <c r="S435" s="430"/>
      <c r="T435" s="430"/>
      <c r="U435" s="430"/>
      <c r="V435" s="430"/>
      <c r="W435" s="430"/>
      <c r="X435" s="430"/>
      <c r="Y435" s="430"/>
      <c r="Z435" s="430">
        <v>3.1915646</v>
      </c>
      <c r="AA435" s="430" t="s">
        <v>985</v>
      </c>
      <c r="AB435" s="430" t="s">
        <v>1058</v>
      </c>
      <c r="AC435" s="419" t="s">
        <v>875</v>
      </c>
      <c r="AD435" s="377" t="s">
        <v>986</v>
      </c>
      <c r="AE435" s="360"/>
      <c r="AF435" s="360"/>
      <c r="AG435" s="360"/>
      <c r="AH435" s="360"/>
      <c r="AI435" s="360"/>
    </row>
    <row r="436" spans="1:35" hidden="1" x14ac:dyDescent="0.25">
      <c r="A436" s="389"/>
      <c r="B436" s="435"/>
      <c r="C436" s="372"/>
      <c r="D436" s="372"/>
      <c r="E436" s="379"/>
      <c r="F436" s="380"/>
      <c r="G436" s="381"/>
      <c r="H436" s="375"/>
      <c r="I436" s="375"/>
      <c r="J436" s="375"/>
      <c r="K436" s="375"/>
      <c r="L436" s="431">
        <f>Table147[[#This Row],[Ambitious target 2030]]+Table147[[#This Row],[Ambitious target 2030]]*0.5</f>
        <v>0</v>
      </c>
      <c r="M436" s="375"/>
      <c r="N436" s="375"/>
      <c r="O436" s="431"/>
      <c r="P436" s="431"/>
      <c r="Q436" s="431">
        <f>Table147[[#This Row],[Red target]]-Table147[[#This Row],[Red target]]*0.5</f>
        <v>0</v>
      </c>
      <c r="R436" s="431"/>
      <c r="S436" s="431"/>
      <c r="T436" s="431"/>
      <c r="U436" s="431"/>
      <c r="V436" s="431"/>
      <c r="W436" s="431"/>
      <c r="X436" s="431"/>
      <c r="Y436" s="431"/>
      <c r="Z436" s="431"/>
      <c r="AA436" s="375"/>
      <c r="AB436" s="375"/>
      <c r="AC436" s="401"/>
      <c r="AD436" s="377"/>
      <c r="AE436" s="360"/>
      <c r="AF436" s="360"/>
      <c r="AG436" s="360"/>
      <c r="AH436" s="360"/>
      <c r="AI436" s="360"/>
    </row>
    <row r="437" spans="1:35" hidden="1" x14ac:dyDescent="0.25">
      <c r="A437" s="389"/>
      <c r="B437" s="435"/>
      <c r="C437" s="372"/>
      <c r="D437" s="372"/>
      <c r="E437" s="379"/>
      <c r="F437" s="380"/>
      <c r="G437" s="381"/>
      <c r="H437" s="375"/>
      <c r="I437" s="375"/>
      <c r="J437" s="375"/>
      <c r="K437" s="375"/>
      <c r="L437" s="431">
        <f>Table147[[#This Row],[Ambitious target 2030]]+Table147[[#This Row],[Ambitious target 2030]]*0.5</f>
        <v>0</v>
      </c>
      <c r="M437" s="375"/>
      <c r="N437" s="375"/>
      <c r="O437" s="431"/>
      <c r="P437" s="431"/>
      <c r="Q437" s="431">
        <f>Table147[[#This Row],[Red target]]-Table147[[#This Row],[Red target]]*0.5</f>
        <v>0</v>
      </c>
      <c r="R437" s="431"/>
      <c r="S437" s="431"/>
      <c r="T437" s="431"/>
      <c r="U437" s="431"/>
      <c r="V437" s="431"/>
      <c r="W437" s="431"/>
      <c r="X437" s="431"/>
      <c r="Y437" s="431"/>
      <c r="Z437" s="431"/>
      <c r="AA437" s="375"/>
      <c r="AB437" s="375"/>
      <c r="AC437" s="401"/>
      <c r="AD437" s="377"/>
      <c r="AE437" s="360"/>
      <c r="AF437" s="360"/>
      <c r="AG437" s="360"/>
      <c r="AH437" s="360"/>
      <c r="AI437" s="360"/>
    </row>
    <row r="438" spans="1:35" hidden="1" x14ac:dyDescent="0.25">
      <c r="A438" s="389"/>
      <c r="B438" s="435"/>
      <c r="C438" s="372"/>
      <c r="D438" s="372"/>
      <c r="E438" s="379"/>
      <c r="F438" s="380"/>
      <c r="G438" s="381"/>
      <c r="H438" s="375"/>
      <c r="I438" s="375"/>
      <c r="J438" s="375"/>
      <c r="K438" s="375"/>
      <c r="L438" s="431">
        <f>Table147[[#This Row],[Ambitious target 2030]]+Table147[[#This Row],[Ambitious target 2030]]*0.5</f>
        <v>0</v>
      </c>
      <c r="M438" s="375"/>
      <c r="N438" s="375"/>
      <c r="O438" s="431"/>
      <c r="P438" s="431"/>
      <c r="Q438" s="431">
        <f>Table147[[#This Row],[Red target]]-Table147[[#This Row],[Red target]]*0.5</f>
        <v>0</v>
      </c>
      <c r="R438" s="431"/>
      <c r="S438" s="431"/>
      <c r="T438" s="431"/>
      <c r="U438" s="431"/>
      <c r="V438" s="431"/>
      <c r="W438" s="431"/>
      <c r="X438" s="431"/>
      <c r="Y438" s="431"/>
      <c r="Z438" s="431"/>
      <c r="AA438" s="375"/>
      <c r="AB438" s="375"/>
      <c r="AC438" s="401"/>
      <c r="AD438" s="377"/>
      <c r="AE438" s="360"/>
      <c r="AF438" s="360"/>
      <c r="AG438" s="360"/>
      <c r="AH438" s="360"/>
      <c r="AI438" s="360"/>
    </row>
    <row r="439" spans="1:35" hidden="1" x14ac:dyDescent="0.25">
      <c r="A439" s="389"/>
      <c r="B439" s="435"/>
      <c r="C439" s="372"/>
      <c r="D439" s="372"/>
      <c r="E439" s="379"/>
      <c r="F439" s="380"/>
      <c r="G439" s="381"/>
      <c r="H439" s="375"/>
      <c r="I439" s="375"/>
      <c r="J439" s="375"/>
      <c r="K439" s="375"/>
      <c r="L439" s="431">
        <f>Table147[[#This Row],[Ambitious target 2030]]+Table147[[#This Row],[Ambitious target 2030]]*0.5</f>
        <v>0</v>
      </c>
      <c r="M439" s="375"/>
      <c r="N439" s="375"/>
      <c r="O439" s="431"/>
      <c r="P439" s="431"/>
      <c r="Q439" s="431">
        <f>Table147[[#This Row],[Red target]]-Table147[[#This Row],[Red target]]*0.5</f>
        <v>0</v>
      </c>
      <c r="R439" s="431"/>
      <c r="S439" s="431"/>
      <c r="T439" s="431"/>
      <c r="U439" s="431"/>
      <c r="V439" s="431"/>
      <c r="W439" s="431"/>
      <c r="X439" s="431"/>
      <c r="Y439" s="431"/>
      <c r="Z439" s="431"/>
      <c r="AA439" s="375"/>
      <c r="AB439" s="375"/>
      <c r="AC439" s="401"/>
      <c r="AD439" s="377"/>
      <c r="AE439" s="360"/>
      <c r="AF439" s="360"/>
      <c r="AG439" s="360"/>
      <c r="AH439" s="360"/>
      <c r="AI439" s="360"/>
    </row>
    <row r="440" spans="1:35" hidden="1" x14ac:dyDescent="0.25">
      <c r="A440" s="389"/>
      <c r="B440" s="435"/>
      <c r="C440" s="372"/>
      <c r="D440" s="372"/>
      <c r="E440" s="379"/>
      <c r="F440" s="380"/>
      <c r="G440" s="381"/>
      <c r="H440" s="375"/>
      <c r="I440" s="375"/>
      <c r="J440" s="375"/>
      <c r="K440" s="375"/>
      <c r="L440" s="431">
        <f>Table147[[#This Row],[Ambitious target 2030]]+Table147[[#This Row],[Ambitious target 2030]]*0.5</f>
        <v>0</v>
      </c>
      <c r="M440" s="375"/>
      <c r="N440" s="375"/>
      <c r="O440" s="431"/>
      <c r="P440" s="431"/>
      <c r="Q440" s="431">
        <f>Table147[[#This Row],[Red target]]-Table147[[#This Row],[Red target]]*0.5</f>
        <v>0</v>
      </c>
      <c r="R440" s="431"/>
      <c r="S440" s="431"/>
      <c r="T440" s="431"/>
      <c r="U440" s="431"/>
      <c r="V440" s="431"/>
      <c r="W440" s="431"/>
      <c r="X440" s="431"/>
      <c r="Y440" s="431"/>
      <c r="Z440" s="431"/>
      <c r="AA440" s="375"/>
      <c r="AB440" s="375"/>
      <c r="AC440" s="401"/>
      <c r="AD440" s="377"/>
      <c r="AE440" s="360"/>
      <c r="AF440" s="360"/>
      <c r="AG440" s="360"/>
      <c r="AH440" s="360"/>
      <c r="AI440" s="360"/>
    </row>
    <row r="441" spans="1:35" hidden="1" x14ac:dyDescent="0.25">
      <c r="A441" s="389"/>
      <c r="B441" s="435"/>
      <c r="C441" s="372"/>
      <c r="D441" s="372"/>
      <c r="E441" s="382"/>
      <c r="F441" s="383"/>
      <c r="G441" s="384"/>
      <c r="H441" s="375"/>
      <c r="I441" s="375"/>
      <c r="J441" s="375"/>
      <c r="K441" s="375"/>
      <c r="L441" s="431">
        <f>Table147[[#This Row],[Ambitious target 2030]]+Table147[[#This Row],[Ambitious target 2030]]*0.5</f>
        <v>0</v>
      </c>
      <c r="M441" s="375"/>
      <c r="N441" s="375"/>
      <c r="O441" s="431"/>
      <c r="P441" s="431"/>
      <c r="Q441" s="431">
        <f>Table147[[#This Row],[Red target]]-Table147[[#This Row],[Red target]]*0.5</f>
        <v>0</v>
      </c>
      <c r="R441" s="431"/>
      <c r="S441" s="431"/>
      <c r="T441" s="431"/>
      <c r="U441" s="431"/>
      <c r="V441" s="431"/>
      <c r="W441" s="431"/>
      <c r="X441" s="431"/>
      <c r="Y441" s="431"/>
      <c r="Z441" s="431"/>
      <c r="AA441" s="375"/>
      <c r="AB441" s="375"/>
      <c r="AC441" s="401"/>
      <c r="AD441" s="377"/>
      <c r="AE441" s="360"/>
      <c r="AF441" s="360"/>
      <c r="AG441" s="360"/>
      <c r="AH441" s="360"/>
      <c r="AI441" s="360"/>
    </row>
    <row r="442" spans="1:35" hidden="1" x14ac:dyDescent="0.25">
      <c r="A442" s="389"/>
      <c r="B442" s="435"/>
      <c r="C442" s="372"/>
      <c r="D442" s="372"/>
      <c r="E442" s="382"/>
      <c r="F442" s="383"/>
      <c r="G442" s="384"/>
      <c r="H442" s="375"/>
      <c r="I442" s="375"/>
      <c r="J442" s="375"/>
      <c r="K442" s="375"/>
      <c r="L442" s="431">
        <f>Table147[[#This Row],[Ambitious target 2030]]+Table147[[#This Row],[Ambitious target 2030]]*0.5</f>
        <v>0</v>
      </c>
      <c r="M442" s="375"/>
      <c r="N442" s="375"/>
      <c r="O442" s="431"/>
      <c r="P442" s="431"/>
      <c r="Q442" s="431">
        <f>Table147[[#This Row],[Red target]]-Table147[[#This Row],[Red target]]*0.5</f>
        <v>0</v>
      </c>
      <c r="R442" s="431"/>
      <c r="S442" s="431"/>
      <c r="T442" s="431"/>
      <c r="U442" s="431"/>
      <c r="V442" s="431"/>
      <c r="W442" s="431"/>
      <c r="X442" s="431"/>
      <c r="Y442" s="431"/>
      <c r="Z442" s="431"/>
      <c r="AA442" s="375"/>
      <c r="AB442" s="375"/>
      <c r="AC442" s="401"/>
      <c r="AD442" s="377"/>
      <c r="AE442" s="360"/>
      <c r="AF442" s="360"/>
      <c r="AG442" s="360"/>
      <c r="AH442" s="360"/>
      <c r="AI442" s="360"/>
    </row>
    <row r="443" spans="1:35" hidden="1" x14ac:dyDescent="0.25">
      <c r="A443" s="389"/>
      <c r="B443" s="435"/>
      <c r="C443" s="372"/>
      <c r="D443" s="372"/>
      <c r="E443" s="382"/>
      <c r="F443" s="383"/>
      <c r="G443" s="384"/>
      <c r="H443" s="375"/>
      <c r="I443" s="375"/>
      <c r="J443" s="375"/>
      <c r="K443" s="375"/>
      <c r="L443" s="431">
        <f>Table147[[#This Row],[Ambitious target 2030]]+Table147[[#This Row],[Ambitious target 2030]]*0.5</f>
        <v>0</v>
      </c>
      <c r="M443" s="375"/>
      <c r="N443" s="375"/>
      <c r="O443" s="431"/>
      <c r="P443" s="431"/>
      <c r="Q443" s="431">
        <f>Table147[[#This Row],[Red target]]-Table147[[#This Row],[Red target]]*0.5</f>
        <v>0</v>
      </c>
      <c r="R443" s="431"/>
      <c r="S443" s="431"/>
      <c r="T443" s="431"/>
      <c r="U443" s="431"/>
      <c r="V443" s="431"/>
      <c r="W443" s="431"/>
      <c r="X443" s="431"/>
      <c r="Y443" s="431"/>
      <c r="Z443" s="431"/>
      <c r="AA443" s="375"/>
      <c r="AB443" s="375"/>
      <c r="AC443" s="401"/>
      <c r="AD443" s="377"/>
      <c r="AE443" s="360"/>
      <c r="AF443" s="360"/>
      <c r="AG443" s="360"/>
      <c r="AH443" s="360"/>
      <c r="AI443" s="360"/>
    </row>
    <row r="444" spans="1:35" hidden="1" x14ac:dyDescent="0.25">
      <c r="A444" s="389"/>
      <c r="B444" s="435"/>
      <c r="C444" s="372"/>
      <c r="D444" s="372"/>
      <c r="E444" s="382"/>
      <c r="F444" s="383"/>
      <c r="G444" s="384"/>
      <c r="H444" s="375"/>
      <c r="I444" s="375"/>
      <c r="J444" s="375"/>
      <c r="K444" s="375"/>
      <c r="L444" s="431">
        <f>Table147[[#This Row],[Ambitious target 2030]]+Table147[[#This Row],[Ambitious target 2030]]*0.5</f>
        <v>0</v>
      </c>
      <c r="M444" s="375"/>
      <c r="N444" s="375"/>
      <c r="O444" s="431"/>
      <c r="P444" s="431"/>
      <c r="Q444" s="431">
        <f>Table147[[#This Row],[Red target]]-Table147[[#This Row],[Red target]]*0.5</f>
        <v>0</v>
      </c>
      <c r="R444" s="431"/>
      <c r="S444" s="431"/>
      <c r="T444" s="431"/>
      <c r="U444" s="431"/>
      <c r="V444" s="431"/>
      <c r="W444" s="431"/>
      <c r="X444" s="431"/>
      <c r="Y444" s="431"/>
      <c r="Z444" s="431"/>
      <c r="AA444" s="375"/>
      <c r="AB444" s="375"/>
      <c r="AC444" s="401"/>
      <c r="AD444" s="377"/>
      <c r="AE444" s="360"/>
      <c r="AF444" s="360"/>
      <c r="AG444" s="360"/>
      <c r="AH444" s="360"/>
      <c r="AI444" s="360"/>
    </row>
    <row r="445" spans="1:35" hidden="1" x14ac:dyDescent="0.25">
      <c r="A445" s="389"/>
      <c r="B445" s="435"/>
      <c r="C445" s="372"/>
      <c r="D445" s="372"/>
      <c r="E445" s="382"/>
      <c r="F445" s="383"/>
      <c r="G445" s="384"/>
      <c r="H445" s="375"/>
      <c r="I445" s="375"/>
      <c r="J445" s="375"/>
      <c r="K445" s="375"/>
      <c r="L445" s="431">
        <f>Table147[[#This Row],[Ambitious target 2030]]+Table147[[#This Row],[Ambitious target 2030]]*0.5</f>
        <v>0</v>
      </c>
      <c r="M445" s="375"/>
      <c r="N445" s="375"/>
      <c r="O445" s="431"/>
      <c r="P445" s="431"/>
      <c r="Q445" s="431">
        <f>Table147[[#This Row],[Red target]]-Table147[[#This Row],[Red target]]*0.5</f>
        <v>0</v>
      </c>
      <c r="R445" s="431"/>
      <c r="S445" s="431"/>
      <c r="T445" s="431"/>
      <c r="U445" s="431"/>
      <c r="V445" s="431"/>
      <c r="W445" s="431"/>
      <c r="X445" s="431"/>
      <c r="Y445" s="431"/>
      <c r="Z445" s="431"/>
      <c r="AA445" s="375"/>
      <c r="AB445" s="375"/>
      <c r="AC445" s="401"/>
      <c r="AD445" s="377"/>
      <c r="AE445" s="360"/>
      <c r="AF445" s="360"/>
      <c r="AG445" s="360"/>
      <c r="AH445" s="360"/>
      <c r="AI445" s="360"/>
    </row>
    <row r="446" spans="1:35" s="386" customFormat="1" hidden="1" x14ac:dyDescent="0.25">
      <c r="A446" s="409"/>
      <c r="B446" s="433"/>
      <c r="C446" s="406"/>
      <c r="D446" s="406"/>
      <c r="E446" s="407"/>
      <c r="F446" s="407"/>
      <c r="G446" s="407">
        <v>2011</v>
      </c>
      <c r="H446" s="407"/>
      <c r="I446" s="407"/>
      <c r="J446" s="407"/>
      <c r="K446" s="407"/>
      <c r="L446" s="407">
        <f>Table147[[#This Row],[Ambitious target 2030]]+Table147[[#This Row],[Ambitious target 2030]]*0.5</f>
        <v>0</v>
      </c>
      <c r="M446" s="407"/>
      <c r="N446" s="407"/>
      <c r="O446" s="407"/>
      <c r="P446" s="407"/>
      <c r="Q446" s="392">
        <f>Table147[[#This Row],[Red target]]-Table147[[#This Row],[Red target]]*0.5</f>
        <v>1.3148347499999999</v>
      </c>
      <c r="R446" s="392"/>
      <c r="S446" s="392"/>
      <c r="T446" s="392"/>
      <c r="U446" s="392"/>
      <c r="V446" s="392"/>
      <c r="W446" s="392"/>
      <c r="X446" s="392"/>
      <c r="Y446" s="392"/>
      <c r="Z446" s="392">
        <v>2.6296694999999999</v>
      </c>
      <c r="AA446" s="407"/>
      <c r="AB446" s="407"/>
      <c r="AC446" s="414"/>
    </row>
    <row r="447" spans="1:35" x14ac:dyDescent="0.25">
      <c r="A447" s="429" t="s">
        <v>623</v>
      </c>
      <c r="B447" s="438" t="s">
        <v>658</v>
      </c>
      <c r="C447" s="438" t="s">
        <v>498</v>
      </c>
      <c r="D447" s="436" t="s">
        <v>904</v>
      </c>
      <c r="E447" s="420"/>
      <c r="F447" s="420"/>
      <c r="G447" s="420">
        <v>1.82</v>
      </c>
      <c r="H447" s="421">
        <v>2011</v>
      </c>
      <c r="I447" s="430">
        <v>1.82</v>
      </c>
      <c r="J447" s="430">
        <v>2015</v>
      </c>
      <c r="K447" s="430">
        <v>2.0063399999999998</v>
      </c>
      <c r="L447" s="430">
        <v>2.2869142999999998</v>
      </c>
      <c r="M447" s="430">
        <v>2.4343537</v>
      </c>
      <c r="N447" s="430"/>
      <c r="O447" s="430">
        <v>2.4919891000000001</v>
      </c>
      <c r="P447" s="430"/>
      <c r="Q447" s="430">
        <v>2.6296694999999999</v>
      </c>
      <c r="R447" s="430"/>
      <c r="S447" s="430"/>
      <c r="T447" s="430"/>
      <c r="U447" s="430"/>
      <c r="V447" s="430"/>
      <c r="W447" s="430"/>
      <c r="X447" s="430"/>
      <c r="Y447" s="430"/>
      <c r="Z447" s="430">
        <v>2.5244892999999999</v>
      </c>
      <c r="AA447" s="430" t="s">
        <v>985</v>
      </c>
      <c r="AB447" s="430" t="s">
        <v>1058</v>
      </c>
      <c r="AC447" s="419" t="s">
        <v>875</v>
      </c>
      <c r="AD447" s="377" t="s">
        <v>986</v>
      </c>
      <c r="AE447" s="360"/>
      <c r="AF447" s="360"/>
      <c r="AG447" s="360"/>
      <c r="AH447" s="360"/>
      <c r="AI447" s="360"/>
    </row>
    <row r="448" spans="1:35" hidden="1" x14ac:dyDescent="0.25">
      <c r="A448" s="389"/>
      <c r="B448" s="435"/>
      <c r="C448" s="372"/>
      <c r="D448" s="372"/>
      <c r="E448" s="379"/>
      <c r="F448" s="380"/>
      <c r="G448" s="381"/>
      <c r="H448" s="375"/>
      <c r="I448" s="375"/>
      <c r="J448" s="375"/>
      <c r="K448" s="375"/>
      <c r="L448" s="431">
        <f>Table147[[#This Row],[Ambitious target 2030]]+Table147[[#This Row],[Ambitious target 2030]]*0.5</f>
        <v>0</v>
      </c>
      <c r="M448" s="375"/>
      <c r="N448" s="375"/>
      <c r="O448" s="431"/>
      <c r="P448" s="431"/>
      <c r="Q448" s="431">
        <f>Table147[[#This Row],[Red target]]-Table147[[#This Row],[Red target]]*0.5</f>
        <v>0</v>
      </c>
      <c r="R448" s="431"/>
      <c r="S448" s="431"/>
      <c r="T448" s="431"/>
      <c r="U448" s="431"/>
      <c r="V448" s="431"/>
      <c r="W448" s="431"/>
      <c r="X448" s="431"/>
      <c r="Y448" s="431"/>
      <c r="Z448" s="431"/>
      <c r="AA448" s="375"/>
      <c r="AB448" s="375"/>
      <c r="AC448" s="401"/>
      <c r="AD448" s="377"/>
      <c r="AE448" s="360"/>
      <c r="AF448" s="360"/>
      <c r="AG448" s="360"/>
      <c r="AH448" s="360"/>
      <c r="AI448" s="360"/>
    </row>
    <row r="449" spans="1:35" hidden="1" x14ac:dyDescent="0.25">
      <c r="A449" s="389"/>
      <c r="B449" s="435"/>
      <c r="C449" s="372"/>
      <c r="D449" s="372"/>
      <c r="E449" s="379"/>
      <c r="F449" s="380"/>
      <c r="G449" s="381"/>
      <c r="H449" s="375"/>
      <c r="I449" s="375"/>
      <c r="J449" s="375"/>
      <c r="K449" s="375"/>
      <c r="L449" s="431">
        <f>Table147[[#This Row],[Ambitious target 2030]]+Table147[[#This Row],[Ambitious target 2030]]*0.5</f>
        <v>0</v>
      </c>
      <c r="M449" s="375"/>
      <c r="N449" s="375"/>
      <c r="O449" s="431"/>
      <c r="P449" s="431"/>
      <c r="Q449" s="431">
        <f>Table147[[#This Row],[Red target]]-Table147[[#This Row],[Red target]]*0.5</f>
        <v>0</v>
      </c>
      <c r="R449" s="431"/>
      <c r="S449" s="431"/>
      <c r="T449" s="431"/>
      <c r="U449" s="431"/>
      <c r="V449" s="431"/>
      <c r="W449" s="431"/>
      <c r="X449" s="431"/>
      <c r="Y449" s="431"/>
      <c r="Z449" s="431"/>
      <c r="AA449" s="375"/>
      <c r="AB449" s="375"/>
      <c r="AC449" s="401"/>
      <c r="AD449" s="377"/>
      <c r="AE449" s="360"/>
      <c r="AF449" s="360"/>
      <c r="AG449" s="360"/>
      <c r="AH449" s="360"/>
      <c r="AI449" s="360"/>
    </row>
    <row r="450" spans="1:35" hidden="1" x14ac:dyDescent="0.25">
      <c r="A450" s="389"/>
      <c r="B450" s="435"/>
      <c r="C450" s="372"/>
      <c r="D450" s="372"/>
      <c r="E450" s="379"/>
      <c r="F450" s="380"/>
      <c r="G450" s="381"/>
      <c r="H450" s="375"/>
      <c r="I450" s="375"/>
      <c r="J450" s="375"/>
      <c r="K450" s="375"/>
      <c r="L450" s="431">
        <f>Table147[[#This Row],[Ambitious target 2030]]+Table147[[#This Row],[Ambitious target 2030]]*0.5</f>
        <v>0</v>
      </c>
      <c r="M450" s="375"/>
      <c r="N450" s="375"/>
      <c r="O450" s="431"/>
      <c r="P450" s="431"/>
      <c r="Q450" s="431">
        <f>Table147[[#This Row],[Red target]]-Table147[[#This Row],[Red target]]*0.5</f>
        <v>0</v>
      </c>
      <c r="R450" s="431"/>
      <c r="S450" s="431"/>
      <c r="T450" s="431"/>
      <c r="U450" s="431"/>
      <c r="V450" s="431"/>
      <c r="W450" s="431"/>
      <c r="X450" s="431"/>
      <c r="Y450" s="431"/>
      <c r="Z450" s="431"/>
      <c r="AA450" s="375"/>
      <c r="AB450" s="375"/>
      <c r="AC450" s="401"/>
      <c r="AD450" s="377"/>
      <c r="AE450" s="360"/>
      <c r="AF450" s="360"/>
      <c r="AG450" s="360"/>
      <c r="AH450" s="360"/>
      <c r="AI450" s="360"/>
    </row>
    <row r="451" spans="1:35" hidden="1" x14ac:dyDescent="0.25">
      <c r="A451" s="389"/>
      <c r="B451" s="435"/>
      <c r="C451" s="372"/>
      <c r="D451" s="372"/>
      <c r="E451" s="379"/>
      <c r="F451" s="380"/>
      <c r="G451" s="381"/>
      <c r="H451" s="375"/>
      <c r="I451" s="375"/>
      <c r="J451" s="375"/>
      <c r="K451" s="375"/>
      <c r="L451" s="431">
        <f>Table147[[#This Row],[Ambitious target 2030]]+Table147[[#This Row],[Ambitious target 2030]]*0.5</f>
        <v>0</v>
      </c>
      <c r="M451" s="375"/>
      <c r="N451" s="375"/>
      <c r="O451" s="431"/>
      <c r="P451" s="431"/>
      <c r="Q451" s="431">
        <f>Table147[[#This Row],[Red target]]-Table147[[#This Row],[Red target]]*0.5</f>
        <v>0</v>
      </c>
      <c r="R451" s="431"/>
      <c r="S451" s="431"/>
      <c r="T451" s="431"/>
      <c r="U451" s="431"/>
      <c r="V451" s="431"/>
      <c r="W451" s="431"/>
      <c r="X451" s="431"/>
      <c r="Y451" s="431"/>
      <c r="Z451" s="431"/>
      <c r="AA451" s="375"/>
      <c r="AB451" s="375"/>
      <c r="AC451" s="401"/>
      <c r="AD451" s="377"/>
      <c r="AE451" s="360"/>
      <c r="AF451" s="360"/>
      <c r="AG451" s="360"/>
      <c r="AH451" s="360"/>
      <c r="AI451" s="360"/>
    </row>
    <row r="452" spans="1:35" hidden="1" x14ac:dyDescent="0.25">
      <c r="A452" s="389"/>
      <c r="B452" s="435"/>
      <c r="C452" s="372"/>
      <c r="D452" s="372"/>
      <c r="E452" s="379"/>
      <c r="F452" s="380"/>
      <c r="G452" s="381"/>
      <c r="H452" s="375"/>
      <c r="I452" s="375"/>
      <c r="J452" s="375"/>
      <c r="K452" s="375"/>
      <c r="L452" s="431">
        <f>Table147[[#This Row],[Ambitious target 2030]]+Table147[[#This Row],[Ambitious target 2030]]*0.5</f>
        <v>0</v>
      </c>
      <c r="M452" s="375"/>
      <c r="N452" s="375"/>
      <c r="O452" s="431"/>
      <c r="P452" s="431"/>
      <c r="Q452" s="431">
        <f>Table147[[#This Row],[Red target]]-Table147[[#This Row],[Red target]]*0.5</f>
        <v>0</v>
      </c>
      <c r="R452" s="431"/>
      <c r="S452" s="431"/>
      <c r="T452" s="431"/>
      <c r="U452" s="431"/>
      <c r="V452" s="431"/>
      <c r="W452" s="431"/>
      <c r="X452" s="431"/>
      <c r="Y452" s="431"/>
      <c r="Z452" s="431"/>
      <c r="AA452" s="375"/>
      <c r="AB452" s="375"/>
      <c r="AC452" s="401"/>
      <c r="AD452" s="377"/>
      <c r="AE452" s="360"/>
      <c r="AF452" s="360"/>
      <c r="AG452" s="360"/>
      <c r="AH452" s="360"/>
      <c r="AI452" s="360"/>
    </row>
    <row r="453" spans="1:35" hidden="1" x14ac:dyDescent="0.25">
      <c r="A453" s="389"/>
      <c r="B453" s="435"/>
      <c r="C453" s="372"/>
      <c r="D453" s="372"/>
      <c r="E453" s="382"/>
      <c r="F453" s="383"/>
      <c r="G453" s="384"/>
      <c r="H453" s="375"/>
      <c r="I453" s="375"/>
      <c r="J453" s="375"/>
      <c r="K453" s="375"/>
      <c r="L453" s="431">
        <f>Table147[[#This Row],[Ambitious target 2030]]+Table147[[#This Row],[Ambitious target 2030]]*0.5</f>
        <v>0</v>
      </c>
      <c r="M453" s="375"/>
      <c r="N453" s="375"/>
      <c r="O453" s="431"/>
      <c r="P453" s="431"/>
      <c r="Q453" s="431">
        <f>Table147[[#This Row],[Red target]]-Table147[[#This Row],[Red target]]*0.5</f>
        <v>0</v>
      </c>
      <c r="R453" s="431"/>
      <c r="S453" s="431"/>
      <c r="T453" s="431"/>
      <c r="U453" s="431"/>
      <c r="V453" s="431"/>
      <c r="W453" s="431"/>
      <c r="X453" s="431"/>
      <c r="Y453" s="431"/>
      <c r="Z453" s="431"/>
      <c r="AA453" s="375"/>
      <c r="AB453" s="375"/>
      <c r="AC453" s="401"/>
      <c r="AD453" s="377"/>
      <c r="AE453" s="360"/>
      <c r="AF453" s="360"/>
      <c r="AG453" s="360"/>
      <c r="AH453" s="360"/>
      <c r="AI453" s="360"/>
    </row>
    <row r="454" spans="1:35" hidden="1" x14ac:dyDescent="0.25">
      <c r="A454" s="389"/>
      <c r="B454" s="435"/>
      <c r="C454" s="372"/>
      <c r="D454" s="372"/>
      <c r="E454" s="382"/>
      <c r="F454" s="383"/>
      <c r="G454" s="384"/>
      <c r="H454" s="375"/>
      <c r="I454" s="375"/>
      <c r="J454" s="375"/>
      <c r="K454" s="375"/>
      <c r="L454" s="431">
        <f>Table147[[#This Row],[Ambitious target 2030]]+Table147[[#This Row],[Ambitious target 2030]]*0.5</f>
        <v>0</v>
      </c>
      <c r="M454" s="375"/>
      <c r="N454" s="375"/>
      <c r="O454" s="431"/>
      <c r="P454" s="431"/>
      <c r="Q454" s="431">
        <f>Table147[[#This Row],[Red target]]-Table147[[#This Row],[Red target]]*0.5</f>
        <v>0</v>
      </c>
      <c r="R454" s="431"/>
      <c r="S454" s="431"/>
      <c r="T454" s="431"/>
      <c r="U454" s="431"/>
      <c r="V454" s="431"/>
      <c r="W454" s="431"/>
      <c r="X454" s="431"/>
      <c r="Y454" s="431"/>
      <c r="Z454" s="431"/>
      <c r="AA454" s="375"/>
      <c r="AB454" s="375"/>
      <c r="AC454" s="401"/>
      <c r="AD454" s="377"/>
      <c r="AE454" s="360"/>
      <c r="AF454" s="360"/>
      <c r="AG454" s="360"/>
      <c r="AH454" s="360"/>
      <c r="AI454" s="360"/>
    </row>
    <row r="455" spans="1:35" hidden="1" x14ac:dyDescent="0.25">
      <c r="A455" s="389"/>
      <c r="B455" s="435"/>
      <c r="C455" s="372"/>
      <c r="D455" s="372"/>
      <c r="E455" s="382"/>
      <c r="F455" s="383"/>
      <c r="G455" s="384"/>
      <c r="H455" s="375"/>
      <c r="I455" s="375"/>
      <c r="J455" s="375"/>
      <c r="K455" s="375"/>
      <c r="L455" s="431">
        <f>Table147[[#This Row],[Ambitious target 2030]]+Table147[[#This Row],[Ambitious target 2030]]*0.5</f>
        <v>0</v>
      </c>
      <c r="M455" s="375"/>
      <c r="N455" s="375"/>
      <c r="O455" s="431"/>
      <c r="P455" s="431"/>
      <c r="Q455" s="431">
        <f>Table147[[#This Row],[Red target]]-Table147[[#This Row],[Red target]]*0.5</f>
        <v>0</v>
      </c>
      <c r="R455" s="431"/>
      <c r="S455" s="431"/>
      <c r="T455" s="431"/>
      <c r="U455" s="431"/>
      <c r="V455" s="431"/>
      <c r="W455" s="431"/>
      <c r="X455" s="431"/>
      <c r="Y455" s="431"/>
      <c r="Z455" s="431"/>
      <c r="AA455" s="375"/>
      <c r="AB455" s="375"/>
      <c r="AC455" s="401"/>
      <c r="AD455" s="377"/>
      <c r="AE455" s="360"/>
      <c r="AF455" s="360"/>
      <c r="AG455" s="360"/>
      <c r="AH455" s="360"/>
      <c r="AI455" s="360"/>
    </row>
    <row r="456" spans="1:35" hidden="1" x14ac:dyDescent="0.25">
      <c r="A456" s="389"/>
      <c r="B456" s="435"/>
      <c r="C456" s="372"/>
      <c r="D456" s="372"/>
      <c r="E456" s="382"/>
      <c r="F456" s="383"/>
      <c r="G456" s="384"/>
      <c r="H456" s="375"/>
      <c r="I456" s="375"/>
      <c r="J456" s="375"/>
      <c r="K456" s="375"/>
      <c r="L456" s="431">
        <f>Table147[[#This Row],[Ambitious target 2030]]+Table147[[#This Row],[Ambitious target 2030]]*0.5</f>
        <v>0</v>
      </c>
      <c r="M456" s="375"/>
      <c r="N456" s="375"/>
      <c r="O456" s="431"/>
      <c r="P456" s="431"/>
      <c r="Q456" s="431">
        <f>Table147[[#This Row],[Red target]]-Table147[[#This Row],[Red target]]*0.5</f>
        <v>0</v>
      </c>
      <c r="R456" s="431"/>
      <c r="S456" s="431"/>
      <c r="T456" s="431"/>
      <c r="U456" s="431"/>
      <c r="V456" s="431"/>
      <c r="W456" s="431"/>
      <c r="X456" s="431"/>
      <c r="Y456" s="431"/>
      <c r="Z456" s="431"/>
      <c r="AA456" s="375"/>
      <c r="AB456" s="375"/>
      <c r="AC456" s="401"/>
      <c r="AD456" s="377"/>
      <c r="AE456" s="360"/>
      <c r="AF456" s="360"/>
      <c r="AG456" s="360"/>
      <c r="AH456" s="360"/>
      <c r="AI456" s="360"/>
    </row>
    <row r="457" spans="1:35" hidden="1" x14ac:dyDescent="0.25">
      <c r="A457" s="389"/>
      <c r="B457" s="435"/>
      <c r="C457" s="372"/>
      <c r="D457" s="372"/>
      <c r="E457" s="382"/>
      <c r="F457" s="383"/>
      <c r="G457" s="384"/>
      <c r="H457" s="375"/>
      <c r="I457" s="375"/>
      <c r="J457" s="375"/>
      <c r="K457" s="375"/>
      <c r="L457" s="431">
        <f>Table147[[#This Row],[Ambitious target 2030]]+Table147[[#This Row],[Ambitious target 2030]]*0.5</f>
        <v>0</v>
      </c>
      <c r="M457" s="375"/>
      <c r="N457" s="375"/>
      <c r="O457" s="431"/>
      <c r="P457" s="431"/>
      <c r="Q457" s="431">
        <f>Table147[[#This Row],[Red target]]-Table147[[#This Row],[Red target]]*0.5</f>
        <v>0</v>
      </c>
      <c r="R457" s="431"/>
      <c r="S457" s="431"/>
      <c r="T457" s="431"/>
      <c r="U457" s="431"/>
      <c r="V457" s="431"/>
      <c r="W457" s="431"/>
      <c r="X457" s="431"/>
      <c r="Y457" s="431"/>
      <c r="Z457" s="431"/>
      <c r="AA457" s="375"/>
      <c r="AB457" s="375"/>
      <c r="AC457" s="401"/>
      <c r="AD457" s="377"/>
      <c r="AE457" s="360"/>
      <c r="AF457" s="360"/>
      <c r="AG457" s="360"/>
      <c r="AH457" s="360"/>
      <c r="AI457" s="360"/>
    </row>
    <row r="458" spans="1:35" s="386" customFormat="1" hidden="1" x14ac:dyDescent="0.25">
      <c r="A458" s="409"/>
      <c r="B458" s="433"/>
      <c r="C458" s="406"/>
      <c r="D458" s="406"/>
      <c r="E458" s="407">
        <v>2005</v>
      </c>
      <c r="F458" s="407">
        <v>2010</v>
      </c>
      <c r="G458" s="407">
        <v>2020</v>
      </c>
      <c r="H458" s="407"/>
      <c r="I458" s="407"/>
      <c r="J458" s="407"/>
      <c r="K458" s="407"/>
      <c r="L458" s="407">
        <f>Table147[[#This Row],[Ambitious target 2030]]+Table147[[#This Row],[Ambitious target 2030]]*0.5</f>
        <v>0</v>
      </c>
      <c r="M458" s="407"/>
      <c r="N458" s="407"/>
      <c r="O458" s="407"/>
      <c r="P458" s="407"/>
      <c r="Q458" s="407">
        <f>Table147[[#This Row],[Red target]]-Table147[[#This Row],[Red target]]*0.5</f>
        <v>0</v>
      </c>
      <c r="R458" s="407"/>
      <c r="S458" s="407"/>
      <c r="T458" s="407"/>
      <c r="U458" s="407"/>
      <c r="V458" s="407"/>
      <c r="W458" s="407"/>
      <c r="X458" s="407"/>
      <c r="Y458" s="407"/>
      <c r="Z458" s="407"/>
      <c r="AA458" s="407"/>
      <c r="AB458" s="407"/>
      <c r="AC458" s="413"/>
    </row>
    <row r="459" spans="1:35" x14ac:dyDescent="0.25">
      <c r="A459" s="429" t="s">
        <v>624</v>
      </c>
      <c r="B459" s="438" t="s">
        <v>1029</v>
      </c>
      <c r="C459" s="438" t="s">
        <v>499</v>
      </c>
      <c r="D459" s="436" t="s">
        <v>1083</v>
      </c>
      <c r="E459" s="420">
        <v>0.91300000000000003</v>
      </c>
      <c r="F459" s="420">
        <v>0.98899999999999999</v>
      </c>
      <c r="G459" s="420">
        <v>1.2410000000000001</v>
      </c>
      <c r="H459" s="421">
        <v>2020</v>
      </c>
      <c r="I459" s="430">
        <v>1.2410000000000001</v>
      </c>
      <c r="J459" s="430">
        <v>2015</v>
      </c>
      <c r="K459" s="430">
        <v>1.12751</v>
      </c>
      <c r="L459" s="430">
        <v>1.466178</v>
      </c>
      <c r="M459" s="430">
        <v>1.4725360000000001</v>
      </c>
      <c r="N459" s="430"/>
      <c r="O459" s="430">
        <v>1.4947785</v>
      </c>
      <c r="P459" s="430"/>
      <c r="Q459" s="430">
        <v>1.6029602000000001</v>
      </c>
      <c r="R459" s="430"/>
      <c r="S459" s="430"/>
      <c r="T459" s="430"/>
      <c r="U459" s="430"/>
      <c r="V459" s="430"/>
      <c r="W459" s="430"/>
      <c r="X459" s="430"/>
      <c r="Y459" s="430"/>
      <c r="Z459" s="430">
        <v>1.5548980999999999</v>
      </c>
      <c r="AA459" s="430" t="s">
        <v>985</v>
      </c>
      <c r="AB459" s="430" t="s">
        <v>1118</v>
      </c>
      <c r="AC459" s="419" t="s">
        <v>986</v>
      </c>
      <c r="AD459" s="360"/>
      <c r="AE459" s="360"/>
      <c r="AF459" s="360"/>
      <c r="AG459" s="360"/>
      <c r="AH459" s="360"/>
      <c r="AI459" s="360"/>
    </row>
    <row r="460" spans="1:35" hidden="1" x14ac:dyDescent="0.25">
      <c r="A460" s="389"/>
      <c r="B460" s="372"/>
      <c r="C460" s="372"/>
      <c r="D460" s="372"/>
      <c r="E460" s="379"/>
      <c r="F460" s="380"/>
      <c r="G460" s="381"/>
      <c r="H460" s="421"/>
      <c r="I460" s="375"/>
      <c r="J460" s="375"/>
      <c r="K460" s="375"/>
      <c r="L460" s="431">
        <f>Table147[[#This Row],[Ambitious target 2030]]+Table147[[#This Row],[Ambitious target 2030]]*0.5</f>
        <v>0</v>
      </c>
      <c r="M460" s="375"/>
      <c r="N460" s="375"/>
      <c r="O460" s="431"/>
      <c r="P460" s="431"/>
      <c r="Q460" s="431">
        <f>Table147[[#This Row],[Red target]]-Table147[[#This Row],[Red target]]*0.5</f>
        <v>0</v>
      </c>
      <c r="R460" s="431"/>
      <c r="S460" s="431"/>
      <c r="T460" s="431"/>
      <c r="U460" s="431"/>
      <c r="V460" s="431"/>
      <c r="W460" s="431"/>
      <c r="X460" s="431"/>
      <c r="Y460" s="431"/>
      <c r="Z460" s="431"/>
      <c r="AA460" s="375"/>
      <c r="AB460" s="375"/>
      <c r="AC460" s="401"/>
      <c r="AD460" s="360"/>
      <c r="AE460" s="360"/>
      <c r="AF460" s="360"/>
      <c r="AG460" s="360"/>
      <c r="AH460" s="360"/>
      <c r="AI460" s="360"/>
    </row>
    <row r="461" spans="1:35" hidden="1" x14ac:dyDescent="0.25">
      <c r="A461" s="389"/>
      <c r="B461" s="372"/>
      <c r="C461" s="372"/>
      <c r="D461" s="372"/>
      <c r="E461" s="379"/>
      <c r="F461" s="380"/>
      <c r="G461" s="381"/>
      <c r="H461" s="421"/>
      <c r="I461" s="375"/>
      <c r="J461" s="375"/>
      <c r="K461" s="375"/>
      <c r="L461" s="431">
        <f>Table147[[#This Row],[Ambitious target 2030]]+Table147[[#This Row],[Ambitious target 2030]]*0.5</f>
        <v>0</v>
      </c>
      <c r="M461" s="375"/>
      <c r="N461" s="375"/>
      <c r="O461" s="431"/>
      <c r="P461" s="431"/>
      <c r="Q461" s="431">
        <f>Table147[[#This Row],[Red target]]-Table147[[#This Row],[Red target]]*0.5</f>
        <v>0</v>
      </c>
      <c r="R461" s="431"/>
      <c r="S461" s="431"/>
      <c r="T461" s="431"/>
      <c r="U461" s="431"/>
      <c r="V461" s="431"/>
      <c r="W461" s="431"/>
      <c r="X461" s="431"/>
      <c r="Y461" s="431"/>
      <c r="Z461" s="431"/>
      <c r="AA461" s="375"/>
      <c r="AB461" s="375"/>
      <c r="AC461" s="401"/>
      <c r="AD461" s="360"/>
      <c r="AE461" s="360"/>
      <c r="AF461" s="360"/>
      <c r="AG461" s="360"/>
      <c r="AH461" s="360"/>
      <c r="AI461" s="360"/>
    </row>
    <row r="462" spans="1:35" hidden="1" x14ac:dyDescent="0.25">
      <c r="A462" s="389"/>
      <c r="B462" s="372"/>
      <c r="C462" s="372"/>
      <c r="D462" s="372"/>
      <c r="E462" s="379"/>
      <c r="F462" s="380"/>
      <c r="G462" s="381"/>
      <c r="H462" s="421"/>
      <c r="I462" s="375"/>
      <c r="J462" s="375"/>
      <c r="K462" s="375"/>
      <c r="L462" s="431">
        <f>Table147[[#This Row],[Ambitious target 2030]]+Table147[[#This Row],[Ambitious target 2030]]*0.5</f>
        <v>0</v>
      </c>
      <c r="M462" s="375"/>
      <c r="N462" s="375"/>
      <c r="O462" s="431"/>
      <c r="P462" s="431"/>
      <c r="Q462" s="431">
        <f>Table147[[#This Row],[Red target]]-Table147[[#This Row],[Red target]]*0.5</f>
        <v>0</v>
      </c>
      <c r="R462" s="431"/>
      <c r="S462" s="431"/>
      <c r="T462" s="431"/>
      <c r="U462" s="431"/>
      <c r="V462" s="431"/>
      <c r="W462" s="431"/>
      <c r="X462" s="431"/>
      <c r="Y462" s="431"/>
      <c r="Z462" s="431"/>
      <c r="AA462" s="375"/>
      <c r="AB462" s="375"/>
      <c r="AC462" s="401"/>
      <c r="AD462" s="360"/>
      <c r="AE462" s="360"/>
      <c r="AF462" s="360"/>
      <c r="AG462" s="360"/>
      <c r="AH462" s="360"/>
      <c r="AI462" s="360"/>
    </row>
    <row r="463" spans="1:35" hidden="1" x14ac:dyDescent="0.25">
      <c r="A463" s="389"/>
      <c r="B463" s="372"/>
      <c r="C463" s="372"/>
      <c r="D463" s="372"/>
      <c r="E463" s="379"/>
      <c r="F463" s="380"/>
      <c r="G463" s="381"/>
      <c r="H463" s="421"/>
      <c r="I463" s="375"/>
      <c r="J463" s="375"/>
      <c r="K463" s="375"/>
      <c r="L463" s="431">
        <f>Table147[[#This Row],[Ambitious target 2030]]+Table147[[#This Row],[Ambitious target 2030]]*0.5</f>
        <v>0</v>
      </c>
      <c r="M463" s="375"/>
      <c r="N463" s="375"/>
      <c r="O463" s="431"/>
      <c r="P463" s="431"/>
      <c r="Q463" s="431">
        <f>Table147[[#This Row],[Red target]]-Table147[[#This Row],[Red target]]*0.5</f>
        <v>0</v>
      </c>
      <c r="R463" s="431"/>
      <c r="S463" s="431"/>
      <c r="T463" s="431"/>
      <c r="U463" s="431"/>
      <c r="V463" s="431"/>
      <c r="W463" s="431"/>
      <c r="X463" s="431"/>
      <c r="Y463" s="431"/>
      <c r="Z463" s="431"/>
      <c r="AA463" s="375"/>
      <c r="AB463" s="375"/>
      <c r="AC463" s="401"/>
      <c r="AD463" s="360"/>
      <c r="AE463" s="360"/>
      <c r="AF463" s="360"/>
      <c r="AG463" s="360"/>
      <c r="AH463" s="360"/>
      <c r="AI463" s="360"/>
    </row>
    <row r="464" spans="1:35" hidden="1" x14ac:dyDescent="0.25">
      <c r="A464" s="389"/>
      <c r="B464" s="372"/>
      <c r="C464" s="372"/>
      <c r="D464" s="372"/>
      <c r="E464" s="379"/>
      <c r="F464" s="380"/>
      <c r="G464" s="381"/>
      <c r="H464" s="421"/>
      <c r="I464" s="375"/>
      <c r="J464" s="375"/>
      <c r="K464" s="375"/>
      <c r="L464" s="431">
        <f>Table147[[#This Row],[Ambitious target 2030]]+Table147[[#This Row],[Ambitious target 2030]]*0.5</f>
        <v>0</v>
      </c>
      <c r="M464" s="375"/>
      <c r="N464" s="375"/>
      <c r="O464" s="431"/>
      <c r="P464" s="431"/>
      <c r="Q464" s="431">
        <f>Table147[[#This Row],[Red target]]-Table147[[#This Row],[Red target]]*0.5</f>
        <v>0</v>
      </c>
      <c r="R464" s="431"/>
      <c r="S464" s="431"/>
      <c r="T464" s="431"/>
      <c r="U464" s="431"/>
      <c r="V464" s="431"/>
      <c r="W464" s="431"/>
      <c r="X464" s="431"/>
      <c r="Y464" s="431"/>
      <c r="Z464" s="431"/>
      <c r="AA464" s="375"/>
      <c r="AB464" s="375"/>
      <c r="AC464" s="401"/>
      <c r="AD464" s="360"/>
      <c r="AE464" s="360"/>
      <c r="AF464" s="360"/>
      <c r="AG464" s="360"/>
      <c r="AH464" s="360"/>
      <c r="AI464" s="360"/>
    </row>
    <row r="465" spans="1:35" hidden="1" x14ac:dyDescent="0.25">
      <c r="A465" s="389"/>
      <c r="B465" s="372"/>
      <c r="C465" s="372"/>
      <c r="D465" s="372"/>
      <c r="E465" s="382"/>
      <c r="F465" s="383"/>
      <c r="G465" s="384"/>
      <c r="H465" s="421"/>
      <c r="I465" s="375"/>
      <c r="J465" s="375"/>
      <c r="K465" s="375"/>
      <c r="L465" s="431">
        <f>Table147[[#This Row],[Ambitious target 2030]]+Table147[[#This Row],[Ambitious target 2030]]*0.5</f>
        <v>0</v>
      </c>
      <c r="M465" s="375"/>
      <c r="N465" s="375"/>
      <c r="O465" s="431"/>
      <c r="P465" s="431"/>
      <c r="Q465" s="431">
        <f>Table147[[#This Row],[Red target]]-Table147[[#This Row],[Red target]]*0.5</f>
        <v>0</v>
      </c>
      <c r="R465" s="431"/>
      <c r="S465" s="431"/>
      <c r="T465" s="431"/>
      <c r="U465" s="431"/>
      <c r="V465" s="431"/>
      <c r="W465" s="431"/>
      <c r="X465" s="431"/>
      <c r="Y465" s="431"/>
      <c r="Z465" s="431"/>
      <c r="AA465" s="375"/>
      <c r="AB465" s="375"/>
      <c r="AC465" s="401"/>
      <c r="AD465" s="360"/>
      <c r="AE465" s="360"/>
      <c r="AF465" s="360"/>
      <c r="AG465" s="360"/>
      <c r="AH465" s="360"/>
      <c r="AI465" s="360"/>
    </row>
    <row r="466" spans="1:35" hidden="1" x14ac:dyDescent="0.25">
      <c r="A466" s="389"/>
      <c r="B466" s="372"/>
      <c r="C466" s="372"/>
      <c r="D466" s="372"/>
      <c r="E466" s="382"/>
      <c r="F466" s="383"/>
      <c r="G466" s="384"/>
      <c r="H466" s="421"/>
      <c r="I466" s="375"/>
      <c r="J466" s="375"/>
      <c r="K466" s="375"/>
      <c r="L466" s="431">
        <f>Table147[[#This Row],[Ambitious target 2030]]+Table147[[#This Row],[Ambitious target 2030]]*0.5</f>
        <v>0</v>
      </c>
      <c r="M466" s="375"/>
      <c r="N466" s="375"/>
      <c r="O466" s="431"/>
      <c r="P466" s="431"/>
      <c r="Q466" s="431">
        <f>Table147[[#This Row],[Red target]]-Table147[[#This Row],[Red target]]*0.5</f>
        <v>0</v>
      </c>
      <c r="R466" s="431"/>
      <c r="S466" s="431"/>
      <c r="T466" s="431"/>
      <c r="U466" s="431"/>
      <c r="V466" s="431"/>
      <c r="W466" s="431"/>
      <c r="X466" s="431"/>
      <c r="Y466" s="431"/>
      <c r="Z466" s="431"/>
      <c r="AA466" s="375"/>
      <c r="AB466" s="375"/>
      <c r="AC466" s="401"/>
      <c r="AD466" s="360"/>
      <c r="AE466" s="360"/>
      <c r="AF466" s="360"/>
      <c r="AG466" s="360"/>
      <c r="AH466" s="360"/>
      <c r="AI466" s="360"/>
    </row>
    <row r="467" spans="1:35" hidden="1" x14ac:dyDescent="0.25">
      <c r="A467" s="389"/>
      <c r="B467" s="372"/>
      <c r="C467" s="372"/>
      <c r="D467" s="372"/>
      <c r="E467" s="382"/>
      <c r="F467" s="383"/>
      <c r="G467" s="384"/>
      <c r="H467" s="421"/>
      <c r="I467" s="375"/>
      <c r="J467" s="375"/>
      <c r="K467" s="375"/>
      <c r="L467" s="431">
        <f>Table147[[#This Row],[Ambitious target 2030]]+Table147[[#This Row],[Ambitious target 2030]]*0.5</f>
        <v>0</v>
      </c>
      <c r="M467" s="375"/>
      <c r="N467" s="375"/>
      <c r="O467" s="431"/>
      <c r="P467" s="431"/>
      <c r="Q467" s="431">
        <f>Table147[[#This Row],[Red target]]-Table147[[#This Row],[Red target]]*0.5</f>
        <v>0</v>
      </c>
      <c r="R467" s="431"/>
      <c r="S467" s="431"/>
      <c r="T467" s="431"/>
      <c r="U467" s="431"/>
      <c r="V467" s="431"/>
      <c r="W467" s="431"/>
      <c r="X467" s="431"/>
      <c r="Y467" s="431"/>
      <c r="Z467" s="431"/>
      <c r="AA467" s="375"/>
      <c r="AB467" s="375"/>
      <c r="AC467" s="401"/>
      <c r="AD467" s="360"/>
      <c r="AE467" s="360"/>
      <c r="AF467" s="360"/>
      <c r="AG467" s="360"/>
      <c r="AH467" s="360"/>
      <c r="AI467" s="360"/>
    </row>
    <row r="468" spans="1:35" hidden="1" x14ac:dyDescent="0.25">
      <c r="A468" s="389"/>
      <c r="B468" s="372"/>
      <c r="C468" s="372"/>
      <c r="D468" s="372"/>
      <c r="E468" s="382"/>
      <c r="F468" s="383"/>
      <c r="G468" s="384"/>
      <c r="H468" s="421"/>
      <c r="I468" s="375"/>
      <c r="J468" s="375"/>
      <c r="K468" s="375"/>
      <c r="L468" s="431">
        <f>Table147[[#This Row],[Ambitious target 2030]]+Table147[[#This Row],[Ambitious target 2030]]*0.5</f>
        <v>0</v>
      </c>
      <c r="M468" s="375"/>
      <c r="N468" s="375"/>
      <c r="O468" s="431"/>
      <c r="P468" s="431"/>
      <c r="Q468" s="431">
        <f>Table147[[#This Row],[Red target]]-Table147[[#This Row],[Red target]]*0.5</f>
        <v>0</v>
      </c>
      <c r="R468" s="431"/>
      <c r="S468" s="431"/>
      <c r="T468" s="431"/>
      <c r="U468" s="431"/>
      <c r="V468" s="431"/>
      <c r="W468" s="431"/>
      <c r="X468" s="431"/>
      <c r="Y468" s="431"/>
      <c r="Z468" s="431"/>
      <c r="AA468" s="375"/>
      <c r="AB468" s="375"/>
      <c r="AC468" s="401"/>
      <c r="AD468" s="360"/>
      <c r="AE468" s="360"/>
      <c r="AF468" s="360"/>
      <c r="AG468" s="360"/>
      <c r="AH468" s="360"/>
      <c r="AI468" s="360"/>
    </row>
    <row r="469" spans="1:35" hidden="1" x14ac:dyDescent="0.25">
      <c r="A469" s="389"/>
      <c r="B469" s="372"/>
      <c r="C469" s="372"/>
      <c r="D469" s="372"/>
      <c r="E469" s="382"/>
      <c r="F469" s="383"/>
      <c r="G469" s="384"/>
      <c r="H469" s="421"/>
      <c r="I469" s="375"/>
      <c r="J469" s="375"/>
      <c r="K469" s="375"/>
      <c r="L469" s="431">
        <f>Table147[[#This Row],[Ambitious target 2030]]+Table147[[#This Row],[Ambitious target 2030]]*0.5</f>
        <v>0</v>
      </c>
      <c r="M469" s="375"/>
      <c r="N469" s="375"/>
      <c r="O469" s="431"/>
      <c r="P469" s="431"/>
      <c r="Q469" s="431">
        <f>Table147[[#This Row],[Red target]]-Table147[[#This Row],[Red target]]*0.5</f>
        <v>0</v>
      </c>
      <c r="R469" s="431"/>
      <c r="S469" s="431"/>
      <c r="T469" s="431"/>
      <c r="U469" s="431"/>
      <c r="V469" s="431"/>
      <c r="W469" s="431"/>
      <c r="X469" s="431"/>
      <c r="Y469" s="431"/>
      <c r="Z469" s="431"/>
      <c r="AA469" s="375"/>
      <c r="AB469" s="375"/>
      <c r="AC469" s="401"/>
      <c r="AD469" s="360"/>
      <c r="AE469" s="360"/>
      <c r="AF469" s="360"/>
      <c r="AG469" s="360"/>
      <c r="AH469" s="360"/>
      <c r="AI469" s="360"/>
    </row>
    <row r="470" spans="1:35" s="386" customFormat="1" hidden="1" x14ac:dyDescent="0.25">
      <c r="A470" s="409"/>
      <c r="B470" s="406"/>
      <c r="C470" s="406"/>
      <c r="D470" s="406"/>
      <c r="E470" s="407">
        <v>2014</v>
      </c>
      <c r="F470" s="407">
        <v>2015</v>
      </c>
      <c r="G470" s="407">
        <v>2016</v>
      </c>
      <c r="H470" s="407"/>
      <c r="I470" s="407"/>
      <c r="J470" s="407"/>
      <c r="K470" s="407"/>
      <c r="L470" s="407">
        <f>Table147[[#This Row],[Ambitious target 2030]]+Table147[[#This Row],[Ambitious target 2030]]*0.5</f>
        <v>0</v>
      </c>
      <c r="M470" s="407"/>
      <c r="N470" s="407"/>
      <c r="O470" s="407"/>
      <c r="P470" s="407"/>
      <c r="Q470" s="407">
        <f>Table147[[#This Row],[Red target]]-Table147[[#This Row],[Red target]]*0.5</f>
        <v>0</v>
      </c>
      <c r="R470" s="407"/>
      <c r="S470" s="407"/>
      <c r="T470" s="407"/>
      <c r="U470" s="407"/>
      <c r="V470" s="407"/>
      <c r="W470" s="407"/>
      <c r="X470" s="407"/>
      <c r="Y470" s="407"/>
      <c r="Z470" s="407"/>
      <c r="AA470" s="407"/>
      <c r="AB470" s="407"/>
      <c r="AC470" s="413"/>
    </row>
    <row r="471" spans="1:35" hidden="1" x14ac:dyDescent="0.25">
      <c r="A471" s="418" t="s">
        <v>879</v>
      </c>
      <c r="B471" s="437" t="s">
        <v>881</v>
      </c>
      <c r="C471" s="437" t="s">
        <v>473</v>
      </c>
      <c r="D471" s="436" t="s">
        <v>904</v>
      </c>
      <c r="E471" s="420">
        <v>30.769568040539401</v>
      </c>
      <c r="F471" s="420">
        <v>30.744264405397601</v>
      </c>
      <c r="G471" s="420">
        <v>30.716420940782999</v>
      </c>
      <c r="H471" s="421">
        <v>2015</v>
      </c>
      <c r="I471" s="421">
        <v>30.744264405397601</v>
      </c>
      <c r="J471" s="421">
        <v>2015</v>
      </c>
      <c r="K471" s="411">
        <v>30.037500000000001</v>
      </c>
      <c r="L471" s="411">
        <f>Table147[[#This Row],[Ambitious target 2030]]+Table147[[#This Row],[Ambitious target 2030]]*0.5</f>
        <v>46.577560574177362</v>
      </c>
      <c r="M471" s="421">
        <f>Table147[[#This Row],[Data reference value]]+Table147[[#This Row],[Data reference value]]*Table147[[#This Row],[Ambitious target improvement rate 2030]]</f>
        <v>31.051707049451576</v>
      </c>
      <c r="N471" s="421">
        <v>0.01</v>
      </c>
      <c r="O471" s="421">
        <f>(Table147[[#This Row],[Ambitious target 2030]]-Table147[[#This Row],[Model reference value]])*0.5+Table147[[#This Row],[Model reference value]]</f>
        <v>30.544603524725787</v>
      </c>
      <c r="P471" s="421"/>
      <c r="Q471" s="421">
        <f>Table147[[#This Row],[Red target]]-Table147[[#This Row],[Red target]]*0.5</f>
        <v>15.018750000000001</v>
      </c>
      <c r="R471" s="421"/>
      <c r="S471" s="421"/>
      <c r="T471" s="421"/>
      <c r="U471" s="421"/>
      <c r="V471" s="421"/>
      <c r="W471" s="421"/>
      <c r="X471" s="421"/>
      <c r="Y471" s="421"/>
      <c r="Z471" s="421">
        <f>Table147[[#This Row],[Model reference value]]</f>
        <v>30.037500000000001</v>
      </c>
      <c r="AA471" s="421" t="s">
        <v>1140</v>
      </c>
      <c r="AB471" s="421"/>
      <c r="AC471" s="419" t="s">
        <v>687</v>
      </c>
      <c r="AD471" s="371" t="s">
        <v>936</v>
      </c>
      <c r="AE471" s="360"/>
      <c r="AF471" s="360"/>
      <c r="AG471" s="360"/>
      <c r="AH471" s="360"/>
      <c r="AI471" s="360"/>
    </row>
    <row r="472" spans="1:35" hidden="1" x14ac:dyDescent="0.25">
      <c r="A472" s="390"/>
      <c r="B472" s="369"/>
      <c r="C472" s="369"/>
      <c r="D472" s="369" t="s">
        <v>668</v>
      </c>
      <c r="E472" s="379">
        <v>74.110764433268599</v>
      </c>
      <c r="F472" s="380">
        <v>74.104579781831006</v>
      </c>
      <c r="G472" s="381">
        <v>74.098395130393499</v>
      </c>
      <c r="H472" s="421"/>
      <c r="I472" s="375"/>
      <c r="J472" s="375"/>
      <c r="K472" s="375"/>
      <c r="L472" s="375">
        <f>Table147[[#This Row],[Ambitious target 2030]]+Table147[[#This Row],[Ambitious target 2030]]*0.5</f>
        <v>0</v>
      </c>
      <c r="M472" s="375"/>
      <c r="N472" s="375"/>
      <c r="O472" s="375"/>
      <c r="P472" s="375"/>
      <c r="Q472" s="375">
        <f>Table147[[#This Row],[Red target]]-Table147[[#This Row],[Red target]]*0.5</f>
        <v>0</v>
      </c>
      <c r="R472" s="375"/>
      <c r="S472" s="375"/>
      <c r="T472" s="375"/>
      <c r="U472" s="375"/>
      <c r="V472" s="375"/>
      <c r="W472" s="375"/>
      <c r="X472" s="375"/>
      <c r="Y472" s="375"/>
      <c r="Z472" s="375"/>
      <c r="AA472" s="375"/>
      <c r="AB472" s="375"/>
      <c r="AC472" s="396"/>
      <c r="AD472" s="360"/>
      <c r="AE472" s="360"/>
      <c r="AF472" s="360"/>
      <c r="AG472" s="360"/>
      <c r="AH472" s="360"/>
      <c r="AI472" s="360"/>
    </row>
    <row r="473" spans="1:35" hidden="1" x14ac:dyDescent="0.25">
      <c r="A473" s="390"/>
      <c r="B473" s="369"/>
      <c r="C473" s="369"/>
      <c r="D473" s="369" t="s">
        <v>669</v>
      </c>
      <c r="E473" s="379">
        <v>73.111981309026305</v>
      </c>
      <c r="F473" s="380">
        <v>73.107169885821506</v>
      </c>
      <c r="G473" s="381">
        <v>73.107169885821506</v>
      </c>
      <c r="H473" s="421"/>
      <c r="I473" s="375"/>
      <c r="J473" s="375"/>
      <c r="K473" s="375"/>
      <c r="L473" s="375">
        <f>Table147[[#This Row],[Ambitious target 2030]]+Table147[[#This Row],[Ambitious target 2030]]*0.5</f>
        <v>0</v>
      </c>
      <c r="M473" s="375"/>
      <c r="N473" s="375"/>
      <c r="O473" s="375"/>
      <c r="P473" s="375"/>
      <c r="Q473" s="375">
        <f>Table147[[#This Row],[Red target]]-Table147[[#This Row],[Red target]]*0.5</f>
        <v>0</v>
      </c>
      <c r="R473" s="375"/>
      <c r="S473" s="375"/>
      <c r="T473" s="375"/>
      <c r="U473" s="375"/>
      <c r="V473" s="375"/>
      <c r="W473" s="375"/>
      <c r="X473" s="375"/>
      <c r="Y473" s="375"/>
      <c r="Z473" s="375"/>
      <c r="AA473" s="375"/>
      <c r="AB473" s="375"/>
      <c r="AC473" s="396"/>
      <c r="AD473" s="360"/>
      <c r="AE473" s="360"/>
      <c r="AF473" s="360"/>
      <c r="AG473" s="360"/>
      <c r="AH473" s="360"/>
      <c r="AI473" s="360"/>
    </row>
    <row r="474" spans="1:35" hidden="1" x14ac:dyDescent="0.25">
      <c r="A474" s="390"/>
      <c r="B474" s="369"/>
      <c r="C474" s="369"/>
      <c r="D474" s="369" t="s">
        <v>670</v>
      </c>
      <c r="E474" s="379">
        <v>72.015374896486705</v>
      </c>
      <c r="F474" s="380">
        <v>72.275624181636999</v>
      </c>
      <c r="G474" s="381">
        <v>72.484536714605994</v>
      </c>
      <c r="H474" s="421"/>
      <c r="I474" s="375"/>
      <c r="J474" s="375"/>
      <c r="K474" s="375"/>
      <c r="L474" s="375">
        <f>Table147[[#This Row],[Ambitious target 2030]]+Table147[[#This Row],[Ambitious target 2030]]*0.5</f>
        <v>0</v>
      </c>
      <c r="M474" s="375"/>
      <c r="N474" s="375"/>
      <c r="O474" s="375"/>
      <c r="P474" s="375"/>
      <c r="Q474" s="375">
        <f>Table147[[#This Row],[Red target]]-Table147[[#This Row],[Red target]]*0.5</f>
        <v>0</v>
      </c>
      <c r="R474" s="375"/>
      <c r="S474" s="375"/>
      <c r="T474" s="375"/>
      <c r="U474" s="375"/>
      <c r="V474" s="375"/>
      <c r="W474" s="375"/>
      <c r="X474" s="375"/>
      <c r="Y474" s="375"/>
      <c r="Z474" s="375"/>
      <c r="AA474" s="375"/>
      <c r="AB474" s="375"/>
      <c r="AC474" s="396"/>
      <c r="AD474" s="360"/>
      <c r="AE474" s="360"/>
      <c r="AF474" s="360"/>
      <c r="AG474" s="360"/>
      <c r="AH474" s="360"/>
      <c r="AI474" s="360"/>
    </row>
    <row r="475" spans="1:35" hidden="1" x14ac:dyDescent="0.25">
      <c r="A475" s="390"/>
      <c r="B475" s="369"/>
      <c r="C475" s="369"/>
      <c r="D475" s="369" t="s">
        <v>671</v>
      </c>
      <c r="E475" s="379">
        <v>68.922933392256496</v>
      </c>
      <c r="F475" s="380">
        <v>68.922933392256496</v>
      </c>
      <c r="G475" s="381">
        <v>68.922933392256496</v>
      </c>
      <c r="H475" s="421"/>
      <c r="I475" s="375"/>
      <c r="J475" s="375"/>
      <c r="K475" s="375"/>
      <c r="L475" s="375">
        <f>Table147[[#This Row],[Ambitious target 2030]]+Table147[[#This Row],[Ambitious target 2030]]*0.5</f>
        <v>0</v>
      </c>
      <c r="M475" s="375"/>
      <c r="N475" s="375"/>
      <c r="O475" s="375"/>
      <c r="P475" s="375"/>
      <c r="Q475" s="375">
        <f>Table147[[#This Row],[Red target]]-Table147[[#This Row],[Red target]]*0.5</f>
        <v>0</v>
      </c>
      <c r="R475" s="375"/>
      <c r="S475" s="375"/>
      <c r="T475" s="375"/>
      <c r="U475" s="375"/>
      <c r="V475" s="375"/>
      <c r="W475" s="375"/>
      <c r="X475" s="375"/>
      <c r="Y475" s="375"/>
      <c r="Z475" s="375"/>
      <c r="AA475" s="375"/>
      <c r="AB475" s="375"/>
      <c r="AC475" s="396"/>
      <c r="AD475" s="360"/>
      <c r="AE475" s="360"/>
      <c r="AF475" s="360"/>
      <c r="AG475" s="360"/>
      <c r="AH475" s="360"/>
      <c r="AI475" s="360"/>
    </row>
    <row r="476" spans="1:35" hidden="1" x14ac:dyDescent="0.25">
      <c r="A476" s="390"/>
      <c r="B476" s="369"/>
      <c r="C476" s="369"/>
      <c r="D476" s="369" t="s">
        <v>672</v>
      </c>
      <c r="E476" s="379">
        <v>67.511187889971097</v>
      </c>
      <c r="F476" s="380">
        <v>67.554405722112307</v>
      </c>
      <c r="G476" s="381">
        <v>67.597623554253502</v>
      </c>
      <c r="H476" s="421"/>
      <c r="I476" s="375"/>
      <c r="J476" s="375"/>
      <c r="K476" s="375"/>
      <c r="L476" s="375">
        <f>Table147[[#This Row],[Ambitious target 2030]]+Table147[[#This Row],[Ambitious target 2030]]*0.5</f>
        <v>0</v>
      </c>
      <c r="M476" s="375"/>
      <c r="N476" s="375"/>
      <c r="O476" s="375"/>
      <c r="P476" s="375"/>
      <c r="Q476" s="375">
        <f>Table147[[#This Row],[Red target]]-Table147[[#This Row],[Red target]]*0.5</f>
        <v>0</v>
      </c>
      <c r="R476" s="375"/>
      <c r="S476" s="375"/>
      <c r="T476" s="375"/>
      <c r="U476" s="375"/>
      <c r="V476" s="375"/>
      <c r="W476" s="375"/>
      <c r="X476" s="375"/>
      <c r="Y476" s="375"/>
      <c r="Z476" s="375"/>
      <c r="AA476" s="375"/>
      <c r="AB476" s="375"/>
      <c r="AC476" s="396"/>
      <c r="AD476" s="360"/>
      <c r="AE476" s="360"/>
      <c r="AF476" s="360"/>
      <c r="AG476" s="360"/>
      <c r="AH476" s="360"/>
      <c r="AI476" s="360"/>
    </row>
    <row r="477" spans="1:35" hidden="1" x14ac:dyDescent="0.25">
      <c r="A477" s="390"/>
      <c r="B477" s="369"/>
      <c r="C477" s="369"/>
      <c r="D477" s="369" t="s">
        <v>673</v>
      </c>
      <c r="E477" s="382">
        <v>7.2730927244842994E-2</v>
      </c>
      <c r="F477" s="383">
        <v>7.3333668190265697E-2</v>
      </c>
      <c r="G477" s="384">
        <v>7.3936409135688497E-2</v>
      </c>
      <c r="H477" s="421"/>
      <c r="I477" s="375"/>
      <c r="J477" s="375"/>
      <c r="K477" s="375"/>
      <c r="L477" s="375">
        <f>Table147[[#This Row],[Ambitious target 2030]]+Table147[[#This Row],[Ambitious target 2030]]*0.5</f>
        <v>0</v>
      </c>
      <c r="M477" s="375"/>
      <c r="N477" s="375"/>
      <c r="O477" s="375"/>
      <c r="P477" s="375"/>
      <c r="Q477" s="375">
        <f>Table147[[#This Row],[Red target]]-Table147[[#This Row],[Red target]]*0.5</f>
        <v>0</v>
      </c>
      <c r="R477" s="375"/>
      <c r="S477" s="375"/>
      <c r="T477" s="375"/>
      <c r="U477" s="375"/>
      <c r="V477" s="375"/>
      <c r="W477" s="375"/>
      <c r="X477" s="375"/>
      <c r="Y477" s="375"/>
      <c r="Z477" s="375"/>
      <c r="AA477" s="375"/>
      <c r="AB477" s="375"/>
      <c r="AC477" s="396"/>
      <c r="AD477" s="360"/>
      <c r="AE477" s="360"/>
      <c r="AF477" s="360"/>
      <c r="AG477" s="360"/>
      <c r="AH477" s="360"/>
      <c r="AI477" s="360"/>
    </row>
    <row r="478" spans="1:35" hidden="1" x14ac:dyDescent="0.25">
      <c r="A478" s="390"/>
      <c r="B478" s="369"/>
      <c r="C478" s="369"/>
      <c r="D478" s="369" t="s">
        <v>674</v>
      </c>
      <c r="E478" s="382">
        <v>0.123327687918433</v>
      </c>
      <c r="F478" s="383">
        <v>0.123327687918433</v>
      </c>
      <c r="G478" s="384">
        <v>0.123327687918433</v>
      </c>
      <c r="H478" s="421"/>
      <c r="I478" s="375"/>
      <c r="J478" s="375"/>
      <c r="K478" s="375"/>
      <c r="L478" s="375">
        <f>Table147[[#This Row],[Ambitious target 2030]]+Table147[[#This Row],[Ambitious target 2030]]*0.5</f>
        <v>0</v>
      </c>
      <c r="M478" s="375"/>
      <c r="N478" s="375"/>
      <c r="O478" s="375"/>
      <c r="P478" s="375"/>
      <c r="Q478" s="375">
        <f>Table147[[#This Row],[Red target]]-Table147[[#This Row],[Red target]]*0.5</f>
        <v>0</v>
      </c>
      <c r="R478" s="375"/>
      <c r="S478" s="375"/>
      <c r="T478" s="375"/>
      <c r="U478" s="375"/>
      <c r="V478" s="375"/>
      <c r="W478" s="375"/>
      <c r="X478" s="375"/>
      <c r="Y478" s="375"/>
      <c r="Z478" s="375"/>
      <c r="AA478" s="375"/>
      <c r="AB478" s="375"/>
      <c r="AC478" s="396"/>
      <c r="AD478" s="360"/>
      <c r="AE478" s="360"/>
      <c r="AF478" s="360"/>
      <c r="AG478" s="360"/>
      <c r="AH478" s="360"/>
      <c r="AI478" s="360"/>
    </row>
    <row r="479" spans="1:35" hidden="1" x14ac:dyDescent="0.25">
      <c r="A479" s="390"/>
      <c r="B479" s="369"/>
      <c r="C479" s="369"/>
      <c r="D479" s="369" t="s">
        <v>675</v>
      </c>
      <c r="E479" s="382">
        <v>0.81805739686702195</v>
      </c>
      <c r="F479" s="383">
        <v>0.82124833105208805</v>
      </c>
      <c r="G479" s="384">
        <v>0.82443926523715405</v>
      </c>
      <c r="H479" s="421"/>
      <c r="I479" s="375"/>
      <c r="J479" s="375"/>
      <c r="K479" s="375"/>
      <c r="L479" s="375">
        <f>Table147[[#This Row],[Ambitious target 2030]]+Table147[[#This Row],[Ambitious target 2030]]*0.5</f>
        <v>0</v>
      </c>
      <c r="M479" s="375"/>
      <c r="N479" s="375"/>
      <c r="O479" s="375"/>
      <c r="P479" s="375"/>
      <c r="Q479" s="375">
        <f>Table147[[#This Row],[Red target]]-Table147[[#This Row],[Red target]]*0.5</f>
        <v>0</v>
      </c>
      <c r="R479" s="375"/>
      <c r="S479" s="375"/>
      <c r="T479" s="375"/>
      <c r="U479" s="375"/>
      <c r="V479" s="375"/>
      <c r="W479" s="375"/>
      <c r="X479" s="375"/>
      <c r="Y479" s="375"/>
      <c r="Z479" s="375"/>
      <c r="AA479" s="375"/>
      <c r="AB479" s="375"/>
      <c r="AC479" s="396"/>
      <c r="AD479" s="360"/>
      <c r="AE479" s="360"/>
      <c r="AF479" s="360"/>
      <c r="AG479" s="360"/>
      <c r="AH479" s="360"/>
      <c r="AI479" s="360"/>
    </row>
    <row r="480" spans="1:35" hidden="1" x14ac:dyDescent="0.25">
      <c r="A480" s="390"/>
      <c r="B480" s="369"/>
      <c r="C480" s="369"/>
      <c r="D480" s="369" t="s">
        <v>676</v>
      </c>
      <c r="E480" s="382">
        <v>0.91134445757800597</v>
      </c>
      <c r="F480" s="383">
        <v>0.90155522223099405</v>
      </c>
      <c r="G480" s="384">
        <v>0.89176598688398201</v>
      </c>
      <c r="H480" s="421"/>
      <c r="I480" s="375"/>
      <c r="J480" s="375"/>
      <c r="K480" s="375"/>
      <c r="L480" s="375">
        <f>Table147[[#This Row],[Ambitious target 2030]]+Table147[[#This Row],[Ambitious target 2030]]*0.5</f>
        <v>0</v>
      </c>
      <c r="M480" s="375"/>
      <c r="N480" s="375"/>
      <c r="O480" s="375"/>
      <c r="P480" s="375"/>
      <c r="Q480" s="375">
        <f>Table147[[#This Row],[Red target]]-Table147[[#This Row],[Red target]]*0.5</f>
        <v>0</v>
      </c>
      <c r="R480" s="375"/>
      <c r="S480" s="375"/>
      <c r="T480" s="375"/>
      <c r="U480" s="375"/>
      <c r="V480" s="375"/>
      <c r="W480" s="375"/>
      <c r="X480" s="375"/>
      <c r="Y480" s="375"/>
      <c r="Z480" s="375"/>
      <c r="AA480" s="375"/>
      <c r="AB480" s="375"/>
      <c r="AC480" s="396"/>
      <c r="AD480" s="360"/>
      <c r="AE480" s="360"/>
      <c r="AF480" s="360"/>
      <c r="AG480" s="360"/>
      <c r="AH480" s="360"/>
      <c r="AI480" s="360"/>
    </row>
    <row r="481" spans="1:35" hidden="1" x14ac:dyDescent="0.25">
      <c r="A481" s="390"/>
      <c r="B481" s="369"/>
      <c r="C481" s="369"/>
      <c r="D481" s="369" t="s">
        <v>677</v>
      </c>
      <c r="E481" s="382">
        <v>1.22569174352706</v>
      </c>
      <c r="F481" s="383">
        <v>1.22569174352706</v>
      </c>
      <c r="G481" s="384">
        <v>1.22569174352706</v>
      </c>
      <c r="H481" s="421"/>
      <c r="I481" s="375"/>
      <c r="J481" s="375"/>
      <c r="K481" s="375"/>
      <c r="L481" s="375">
        <f>Table147[[#This Row],[Ambitious target 2030]]+Table147[[#This Row],[Ambitious target 2030]]*0.5</f>
        <v>0</v>
      </c>
      <c r="M481" s="375"/>
      <c r="N481" s="375"/>
      <c r="O481" s="375"/>
      <c r="P481" s="375"/>
      <c r="Q481" s="375">
        <f>Table147[[#This Row],[Red target]]-Table147[[#This Row],[Red target]]*0.5</f>
        <v>0</v>
      </c>
      <c r="R481" s="375"/>
      <c r="S481" s="375"/>
      <c r="T481" s="375"/>
      <c r="U481" s="375"/>
      <c r="V481" s="375"/>
      <c r="W481" s="375"/>
      <c r="X481" s="375"/>
      <c r="Y481" s="375"/>
      <c r="Z481" s="375"/>
      <c r="AA481" s="375"/>
      <c r="AB481" s="375"/>
      <c r="AC481" s="396"/>
      <c r="AD481" s="360"/>
      <c r="AE481" s="360"/>
      <c r="AF481" s="360"/>
      <c r="AG481" s="360"/>
      <c r="AH481" s="360"/>
      <c r="AI481" s="360"/>
    </row>
    <row r="482" spans="1:35" s="387" customFormat="1" hidden="1" x14ac:dyDescent="0.25">
      <c r="A482" s="410"/>
      <c r="B482" s="415"/>
      <c r="C482" s="415"/>
      <c r="D482" s="415"/>
      <c r="E482" s="417">
        <v>2005</v>
      </c>
      <c r="F482" s="417">
        <v>2010</v>
      </c>
      <c r="G482" s="417">
        <v>2020</v>
      </c>
      <c r="H482" s="417"/>
      <c r="I482" s="417"/>
      <c r="J482" s="417"/>
      <c r="K482" s="417"/>
      <c r="L482" s="417">
        <f>Table147[[#This Row],[Ambitious target 2030]]+Table147[[#This Row],[Ambitious target 2030]]*0.5</f>
        <v>0</v>
      </c>
      <c r="M482" s="417"/>
      <c r="N482" s="417"/>
      <c r="O482" s="417"/>
      <c r="P482" s="417"/>
      <c r="Q482" s="417">
        <f>Table147[[#This Row],[Red target]]-Table147[[#This Row],[Red target]]*0.5</f>
        <v>0</v>
      </c>
      <c r="R482" s="417"/>
      <c r="S482" s="417"/>
      <c r="T482" s="417"/>
      <c r="U482" s="417"/>
      <c r="V482" s="417"/>
      <c r="W482" s="417"/>
      <c r="X482" s="417"/>
      <c r="Y482" s="417"/>
      <c r="Z482" s="417"/>
      <c r="AA482" s="417"/>
      <c r="AB482" s="417"/>
      <c r="AC482" s="412"/>
    </row>
    <row r="483" spans="1:35" s="362" customFormat="1" hidden="1" x14ac:dyDescent="0.25">
      <c r="A483" s="418" t="s">
        <v>964</v>
      </c>
      <c r="B483" s="436" t="s">
        <v>28</v>
      </c>
      <c r="C483" s="437" t="s">
        <v>965</v>
      </c>
      <c r="D483" s="436" t="s">
        <v>904</v>
      </c>
      <c r="E483" s="420">
        <v>3725.0472</v>
      </c>
      <c r="F483" s="420">
        <v>3708.1455999999998</v>
      </c>
      <c r="G483" s="420">
        <v>3697.7395999999999</v>
      </c>
      <c r="H483" s="421">
        <v>2020</v>
      </c>
      <c r="I483" s="421">
        <v>3697.7395999999999</v>
      </c>
      <c r="J483" s="421">
        <v>2015</v>
      </c>
      <c r="K483" s="411">
        <v>3876.04</v>
      </c>
      <c r="L483" s="411">
        <f>Table147[[#This Row],[Ambitious target 2030]]+Table147[[#This Row],[Ambitious target 2030]]*0.5</f>
        <v>5602.0754940000006</v>
      </c>
      <c r="M483" s="421">
        <f>Table147[[#This Row],[Data reference value]]+Table147[[#This Row],[Data reference value]]*Table147[[#This Row],[Ambitious target improvement rate 2030]]</f>
        <v>3734.7169960000001</v>
      </c>
      <c r="N483" s="421">
        <v>0.01</v>
      </c>
      <c r="O483" s="421">
        <f>(Table147[[#This Row],[Ambitious target 2030]]-Table147[[#This Row],[Model reference value]])*0.5+Table147[[#This Row],[Model reference value]]</f>
        <v>3805.378498</v>
      </c>
      <c r="P483" s="421"/>
      <c r="Q483" s="421">
        <f>Table147[[#This Row],[Red target]]-Table147[[#This Row],[Red target]]*0.5</f>
        <v>1938.02</v>
      </c>
      <c r="R483" s="421"/>
      <c r="S483" s="421"/>
      <c r="T483" s="421"/>
      <c r="U483" s="421"/>
      <c r="V483" s="421"/>
      <c r="W483" s="421"/>
      <c r="X483" s="421"/>
      <c r="Y483" s="421"/>
      <c r="Z483" s="421">
        <f>Table147[[#This Row],[Model reference value]]</f>
        <v>3876.04</v>
      </c>
      <c r="AA483" s="421" t="s">
        <v>1140</v>
      </c>
      <c r="AB483" s="421" t="s">
        <v>1124</v>
      </c>
      <c r="AC483" s="419" t="s">
        <v>979</v>
      </c>
    </row>
    <row r="484" spans="1:35" s="362" customFormat="1" ht="30" hidden="1" x14ac:dyDescent="0.25">
      <c r="A484" s="389"/>
      <c r="B484" s="372"/>
      <c r="C484" s="372"/>
      <c r="D484" s="372" t="s">
        <v>975</v>
      </c>
      <c r="E484" s="379">
        <v>1164.75264511718</v>
      </c>
      <c r="F484" s="380">
        <v>1163.8596947265601</v>
      </c>
      <c r="G484" s="381">
        <v>1169.8245865234301</v>
      </c>
      <c r="H484" s="421"/>
      <c r="I484" s="375"/>
      <c r="J484" s="375"/>
      <c r="K484" s="375"/>
      <c r="L484" s="375">
        <f>Table147[[#This Row],[Ambitious target 2030]]+Table147[[#This Row],[Ambitious target 2030]]*0.5</f>
        <v>0</v>
      </c>
      <c r="M484" s="375"/>
      <c r="N484" s="375"/>
      <c r="O484" s="375"/>
      <c r="P484" s="375"/>
      <c r="Q484" s="375">
        <f>Table147[[#This Row],[Red target]]-Table147[[#This Row],[Red target]]*0.5</f>
        <v>0</v>
      </c>
      <c r="R484" s="375"/>
      <c r="S484" s="375"/>
      <c r="T484" s="375"/>
      <c r="U484" s="375"/>
      <c r="V484" s="375"/>
      <c r="W484" s="375"/>
      <c r="X484" s="375"/>
      <c r="Y484" s="375"/>
      <c r="Z484" s="375"/>
      <c r="AA484" s="375"/>
      <c r="AB484" s="375"/>
      <c r="AC484" s="399"/>
    </row>
    <row r="485" spans="1:35" s="362" customFormat="1" hidden="1" x14ac:dyDescent="0.25">
      <c r="A485" s="389"/>
      <c r="B485" s="372"/>
      <c r="C485" s="372"/>
      <c r="D485" s="372" t="s">
        <v>972</v>
      </c>
      <c r="E485" s="379">
        <v>1096.09805351562</v>
      </c>
      <c r="F485" s="380">
        <v>1103.73515585937</v>
      </c>
      <c r="G485" s="381">
        <v>1132.18370820312</v>
      </c>
      <c r="H485" s="421"/>
      <c r="I485" s="375"/>
      <c r="J485" s="375"/>
      <c r="K485" s="375"/>
      <c r="L485" s="375">
        <f>Table147[[#This Row],[Ambitious target 2030]]+Table147[[#This Row],[Ambitious target 2030]]*0.5</f>
        <v>0</v>
      </c>
      <c r="M485" s="375"/>
      <c r="N485" s="375"/>
      <c r="O485" s="375"/>
      <c r="P485" s="375"/>
      <c r="Q485" s="375">
        <f>Table147[[#This Row],[Red target]]-Table147[[#This Row],[Red target]]*0.5</f>
        <v>0</v>
      </c>
      <c r="R485" s="375"/>
      <c r="S485" s="375"/>
      <c r="T485" s="375"/>
      <c r="U485" s="375"/>
      <c r="V485" s="375"/>
      <c r="W485" s="375"/>
      <c r="X485" s="375"/>
      <c r="Y485" s="375"/>
      <c r="Z485" s="375"/>
      <c r="AA485" s="375"/>
      <c r="AB485" s="375"/>
      <c r="AC485" s="399"/>
    </row>
    <row r="486" spans="1:35" s="362" customFormat="1" hidden="1" x14ac:dyDescent="0.25">
      <c r="A486" s="389"/>
      <c r="B486" s="372"/>
      <c r="C486" s="372"/>
      <c r="D486" s="372" t="s">
        <v>977</v>
      </c>
      <c r="E486" s="379">
        <v>741.06497343750004</v>
      </c>
      <c r="F486" s="380">
        <v>728.92406093750003</v>
      </c>
      <c r="G486" s="381">
        <v>711.25087656250003</v>
      </c>
      <c r="H486" s="421"/>
      <c r="I486" s="375"/>
      <c r="J486" s="375"/>
      <c r="K486" s="375"/>
      <c r="L486" s="375">
        <f>Table147[[#This Row],[Ambitious target 2030]]+Table147[[#This Row],[Ambitious target 2030]]*0.5</f>
        <v>0</v>
      </c>
      <c r="M486" s="375"/>
      <c r="N486" s="375"/>
      <c r="O486" s="375"/>
      <c r="P486" s="375"/>
      <c r="Q486" s="375">
        <f>Table147[[#This Row],[Red target]]-Table147[[#This Row],[Red target]]*0.5</f>
        <v>0</v>
      </c>
      <c r="R486" s="375"/>
      <c r="S486" s="375"/>
      <c r="T486" s="375"/>
      <c r="U486" s="375"/>
      <c r="V486" s="375"/>
      <c r="W486" s="375"/>
      <c r="X486" s="375"/>
      <c r="Y486" s="375"/>
      <c r="Z486" s="375"/>
      <c r="AA486" s="375"/>
      <c r="AB486" s="375"/>
      <c r="AC486" s="399"/>
    </row>
    <row r="487" spans="1:35" s="362" customFormat="1" hidden="1" x14ac:dyDescent="0.25">
      <c r="A487" s="389"/>
      <c r="B487" s="372"/>
      <c r="C487" s="372"/>
      <c r="D487" s="372"/>
      <c r="E487" s="379"/>
      <c r="F487" s="380"/>
      <c r="G487" s="381"/>
      <c r="H487" s="421"/>
      <c r="I487" s="375"/>
      <c r="J487" s="375"/>
      <c r="K487" s="375"/>
      <c r="L487" s="431">
        <f>Table147[[#This Row],[Ambitious target 2030]]+Table147[[#This Row],[Ambitious target 2030]]*0.5</f>
        <v>0</v>
      </c>
      <c r="M487" s="375"/>
      <c r="N487" s="375"/>
      <c r="O487" s="431"/>
      <c r="P487" s="431"/>
      <c r="Q487" s="431">
        <f>Table147[[#This Row],[Red target]]-Table147[[#This Row],[Red target]]*0.5</f>
        <v>0</v>
      </c>
      <c r="R487" s="431"/>
      <c r="S487" s="431"/>
      <c r="T487" s="431"/>
      <c r="U487" s="431"/>
      <c r="V487" s="431"/>
      <c r="W487" s="431"/>
      <c r="X487" s="431"/>
      <c r="Y487" s="431"/>
      <c r="Z487" s="431"/>
      <c r="AA487" s="375"/>
      <c r="AB487" s="375"/>
      <c r="AC487" s="399"/>
    </row>
    <row r="488" spans="1:35" s="362" customFormat="1" hidden="1" x14ac:dyDescent="0.25">
      <c r="A488" s="389"/>
      <c r="B488" s="372"/>
      <c r="C488" s="372"/>
      <c r="D488" s="372"/>
      <c r="E488" s="379"/>
      <c r="F488" s="380"/>
      <c r="G488" s="381"/>
      <c r="H488" s="421"/>
      <c r="I488" s="375"/>
      <c r="J488" s="375"/>
      <c r="K488" s="375"/>
      <c r="L488" s="431">
        <f>Table147[[#This Row],[Ambitious target 2030]]+Table147[[#This Row],[Ambitious target 2030]]*0.5</f>
        <v>0</v>
      </c>
      <c r="M488" s="375"/>
      <c r="N488" s="375"/>
      <c r="O488" s="431"/>
      <c r="P488" s="431"/>
      <c r="Q488" s="431">
        <f>Table147[[#This Row],[Red target]]-Table147[[#This Row],[Red target]]*0.5</f>
        <v>0</v>
      </c>
      <c r="R488" s="431"/>
      <c r="S488" s="431"/>
      <c r="T488" s="431"/>
      <c r="U488" s="431"/>
      <c r="V488" s="431"/>
      <c r="W488" s="431"/>
      <c r="X488" s="431"/>
      <c r="Y488" s="431"/>
      <c r="Z488" s="431"/>
      <c r="AA488" s="375"/>
      <c r="AB488" s="375"/>
      <c r="AC488" s="399"/>
    </row>
    <row r="489" spans="1:35" s="362" customFormat="1" hidden="1" x14ac:dyDescent="0.25">
      <c r="A489" s="389"/>
      <c r="B489" s="372"/>
      <c r="C489" s="372"/>
      <c r="D489" s="372" t="s">
        <v>974</v>
      </c>
      <c r="E489" s="382">
        <v>434.45220859375002</v>
      </c>
      <c r="F489" s="383">
        <v>426.61628124999999</v>
      </c>
      <c r="G489" s="384">
        <v>415.74024140624999</v>
      </c>
      <c r="H489" s="421"/>
      <c r="I489" s="375"/>
      <c r="J489" s="375"/>
      <c r="K489" s="375"/>
      <c r="L489" s="375">
        <f>Table147[[#This Row],[Ambitious target 2030]]+Table147[[#This Row],[Ambitious target 2030]]*0.5</f>
        <v>0</v>
      </c>
      <c r="M489" s="375"/>
      <c r="N489" s="375"/>
      <c r="O489" s="375"/>
      <c r="P489" s="375"/>
      <c r="Q489" s="375">
        <f>Table147[[#This Row],[Red target]]-Table147[[#This Row],[Red target]]*0.5</f>
        <v>0</v>
      </c>
      <c r="R489" s="375"/>
      <c r="S489" s="375"/>
      <c r="T489" s="375"/>
      <c r="U489" s="375"/>
      <c r="V489" s="375"/>
      <c r="W489" s="375"/>
      <c r="X489" s="375"/>
      <c r="Y489" s="375"/>
      <c r="Z489" s="375"/>
      <c r="AA489" s="375"/>
      <c r="AB489" s="375"/>
      <c r="AC489" s="399"/>
    </row>
    <row r="490" spans="1:35" s="362" customFormat="1" hidden="1" x14ac:dyDescent="0.25">
      <c r="A490" s="389"/>
      <c r="B490" s="372"/>
      <c r="C490" s="372"/>
      <c r="D490" s="372" t="s">
        <v>976</v>
      </c>
      <c r="E490" s="382">
        <v>288.67952734375001</v>
      </c>
      <c r="F490" s="383">
        <v>285.01043046874997</v>
      </c>
      <c r="G490" s="384">
        <v>268.73964550781199</v>
      </c>
      <c r="H490" s="421"/>
      <c r="I490" s="375"/>
      <c r="J490" s="375"/>
      <c r="K490" s="375"/>
      <c r="L490" s="375">
        <f>Table147[[#This Row],[Ambitious target 2030]]+Table147[[#This Row],[Ambitious target 2030]]*0.5</f>
        <v>0</v>
      </c>
      <c r="M490" s="375"/>
      <c r="N490" s="375"/>
      <c r="O490" s="375"/>
      <c r="P490" s="375"/>
      <c r="Q490" s="375">
        <f>Table147[[#This Row],[Red target]]-Table147[[#This Row],[Red target]]*0.5</f>
        <v>0</v>
      </c>
      <c r="R490" s="375"/>
      <c r="S490" s="375"/>
      <c r="T490" s="375"/>
      <c r="U490" s="375"/>
      <c r="V490" s="375"/>
      <c r="W490" s="375"/>
      <c r="X490" s="375"/>
      <c r="Y490" s="375"/>
      <c r="Z490" s="375"/>
      <c r="AA490" s="375"/>
      <c r="AB490" s="375"/>
      <c r="AC490" s="399"/>
    </row>
    <row r="491" spans="1:35" s="362" customFormat="1" hidden="1" x14ac:dyDescent="0.25">
      <c r="A491" s="389"/>
      <c r="B491" s="372"/>
      <c r="C491" s="372"/>
      <c r="D491" s="372"/>
      <c r="E491" s="382"/>
      <c r="F491" s="383"/>
      <c r="G491" s="384"/>
      <c r="H491" s="421"/>
      <c r="I491" s="375"/>
      <c r="J491" s="375"/>
      <c r="K491" s="375"/>
      <c r="L491" s="431">
        <f>Table147[[#This Row],[Ambitious target 2030]]+Table147[[#This Row],[Ambitious target 2030]]*0.5</f>
        <v>0</v>
      </c>
      <c r="M491" s="375"/>
      <c r="N491" s="375"/>
      <c r="O491" s="431"/>
      <c r="P491" s="431"/>
      <c r="Q491" s="431">
        <f>Table147[[#This Row],[Red target]]-Table147[[#This Row],[Red target]]*0.5</f>
        <v>0</v>
      </c>
      <c r="R491" s="431"/>
      <c r="S491" s="431"/>
      <c r="T491" s="431"/>
      <c r="U491" s="431"/>
      <c r="V491" s="431"/>
      <c r="W491" s="431"/>
      <c r="X491" s="431"/>
      <c r="Y491" s="431"/>
      <c r="Z491" s="431"/>
      <c r="AA491" s="375"/>
      <c r="AB491" s="375"/>
      <c r="AC491" s="399"/>
    </row>
    <row r="492" spans="1:35" s="362" customFormat="1" hidden="1" x14ac:dyDescent="0.25">
      <c r="A492" s="389"/>
      <c r="B492" s="372"/>
      <c r="C492" s="372"/>
      <c r="D492" s="372"/>
      <c r="E492" s="382"/>
      <c r="F492" s="383"/>
      <c r="G492" s="384"/>
      <c r="H492" s="421"/>
      <c r="I492" s="375"/>
      <c r="J492" s="375"/>
      <c r="K492" s="375"/>
      <c r="L492" s="431">
        <f>Table147[[#This Row],[Ambitious target 2030]]+Table147[[#This Row],[Ambitious target 2030]]*0.5</f>
        <v>0</v>
      </c>
      <c r="M492" s="375"/>
      <c r="N492" s="375"/>
      <c r="O492" s="431"/>
      <c r="P492" s="431"/>
      <c r="Q492" s="431">
        <f>Table147[[#This Row],[Red target]]-Table147[[#This Row],[Red target]]*0.5</f>
        <v>0</v>
      </c>
      <c r="R492" s="431"/>
      <c r="S492" s="431"/>
      <c r="T492" s="431"/>
      <c r="U492" s="431"/>
      <c r="V492" s="431"/>
      <c r="W492" s="431"/>
      <c r="X492" s="431"/>
      <c r="Y492" s="431"/>
      <c r="Z492" s="431"/>
      <c r="AA492" s="375"/>
      <c r="AB492" s="375"/>
      <c r="AC492" s="399"/>
    </row>
    <row r="493" spans="1:35" s="362" customFormat="1" hidden="1" x14ac:dyDescent="0.25">
      <c r="A493" s="389"/>
      <c r="B493" s="372"/>
      <c r="C493" s="372"/>
      <c r="D493" s="372"/>
      <c r="E493" s="382"/>
      <c r="F493" s="383"/>
      <c r="G493" s="384"/>
      <c r="H493" s="421"/>
      <c r="I493" s="375"/>
      <c r="J493" s="375"/>
      <c r="K493" s="375"/>
      <c r="L493" s="431">
        <f>Table147[[#This Row],[Ambitious target 2030]]+Table147[[#This Row],[Ambitious target 2030]]*0.5</f>
        <v>0</v>
      </c>
      <c r="M493" s="375"/>
      <c r="N493" s="375"/>
      <c r="O493" s="431"/>
      <c r="P493" s="431"/>
      <c r="Q493" s="431">
        <f>Table147[[#This Row],[Red target]]-Table147[[#This Row],[Red target]]*0.5</f>
        <v>0</v>
      </c>
      <c r="R493" s="431"/>
      <c r="S493" s="431"/>
      <c r="T493" s="431"/>
      <c r="U493" s="431"/>
      <c r="V493" s="431"/>
      <c r="W493" s="431"/>
      <c r="X493" s="431"/>
      <c r="Y493" s="431"/>
      <c r="Z493" s="431"/>
      <c r="AA493" s="375"/>
      <c r="AB493" s="375"/>
      <c r="AC493" s="399"/>
    </row>
    <row r="494" spans="1:35" s="386" customFormat="1" hidden="1" x14ac:dyDescent="0.25">
      <c r="A494" s="409"/>
      <c r="B494" s="406"/>
      <c r="C494" s="406"/>
      <c r="D494" s="406"/>
      <c r="E494" s="407"/>
      <c r="F494" s="407"/>
      <c r="G494" s="407">
        <v>2000</v>
      </c>
      <c r="H494" s="407"/>
      <c r="I494" s="407"/>
      <c r="J494" s="407"/>
      <c r="K494" s="407"/>
      <c r="L494" s="407">
        <f>Table147[[#This Row],[Ambitious target 2030]]+Table147[[#This Row],[Ambitious target 2030]]*0.5</f>
        <v>0</v>
      </c>
      <c r="M494" s="407"/>
      <c r="N494" s="407"/>
      <c r="O494" s="407"/>
      <c r="P494" s="407"/>
      <c r="Q494" s="407">
        <f>Table147[[#This Row],[Red target]]-Table147[[#This Row],[Red target]]*0.5</f>
        <v>0</v>
      </c>
      <c r="R494" s="407"/>
      <c r="S494" s="407"/>
      <c r="T494" s="407"/>
      <c r="U494" s="407"/>
      <c r="V494" s="407"/>
      <c r="W494" s="407"/>
      <c r="X494" s="407"/>
      <c r="Y494" s="407"/>
      <c r="Z494" s="407"/>
      <c r="AA494" s="407"/>
      <c r="AB494" s="407"/>
      <c r="AC494" s="413"/>
    </row>
    <row r="495" spans="1:35" x14ac:dyDescent="0.25">
      <c r="A495" s="418" t="s">
        <v>883</v>
      </c>
      <c r="B495" s="437" t="s">
        <v>884</v>
      </c>
      <c r="C495" s="437" t="s">
        <v>473</v>
      </c>
      <c r="D495" s="436" t="s">
        <v>904</v>
      </c>
      <c r="E495" s="420"/>
      <c r="F495" s="420"/>
      <c r="G495" s="420">
        <v>70</v>
      </c>
      <c r="H495" s="421">
        <v>2000</v>
      </c>
      <c r="I495" s="421">
        <v>70</v>
      </c>
      <c r="J495" s="421">
        <v>2015</v>
      </c>
      <c r="K495" s="411">
        <v>42.328600000000002</v>
      </c>
      <c r="L495" s="411">
        <v>100</v>
      </c>
      <c r="M495" s="421">
        <v>70</v>
      </c>
      <c r="N495" s="421"/>
      <c r="O495" s="421">
        <f>(M495-K495)*0.5+K495</f>
        <v>56.164299999999997</v>
      </c>
      <c r="P495" s="421"/>
      <c r="Q495" s="421">
        <f>Table147[[#This Row],[Red target]]-Table147[[#This Row],[Red target]]*0.5</f>
        <v>21.164300000000001</v>
      </c>
      <c r="R495" s="421"/>
      <c r="S495" s="421"/>
      <c r="T495" s="421"/>
      <c r="U495" s="421"/>
      <c r="V495" s="421"/>
      <c r="W495" s="421"/>
      <c r="X495" s="421"/>
      <c r="Y495" s="421"/>
      <c r="Z495" s="421">
        <f>K495</f>
        <v>42.328600000000002</v>
      </c>
      <c r="AA495" s="421" t="s">
        <v>982</v>
      </c>
      <c r="AB495" s="421" t="s">
        <v>1037</v>
      </c>
      <c r="AC495" s="419" t="s">
        <v>890</v>
      </c>
      <c r="AD495" s="360"/>
      <c r="AE495" s="360"/>
      <c r="AF495" s="360"/>
      <c r="AG495" s="360"/>
      <c r="AH495" s="360"/>
      <c r="AI495" s="360"/>
    </row>
    <row r="496" spans="1:35" hidden="1" x14ac:dyDescent="0.25">
      <c r="A496" s="390"/>
      <c r="B496" s="369"/>
      <c r="C496" s="369"/>
      <c r="D496" s="372" t="s">
        <v>893</v>
      </c>
      <c r="E496" s="379"/>
      <c r="F496" s="380"/>
      <c r="G496" s="381">
        <v>87</v>
      </c>
      <c r="H496" s="421">
        <v>2000</v>
      </c>
      <c r="I496" s="375">
        <v>87</v>
      </c>
      <c r="J496" s="375"/>
      <c r="K496" s="375"/>
      <c r="L496" s="375">
        <f>Table147[[#This Row],[Ambitious target 2030]]+Table147[[#This Row],[Ambitious target 2030]]*0.5</f>
        <v>0</v>
      </c>
      <c r="M496" s="375"/>
      <c r="N496" s="375"/>
      <c r="O496" s="375"/>
      <c r="P496" s="375"/>
      <c r="Q496" s="375">
        <f>Table147[[#This Row],[Red target]]-Table147[[#This Row],[Red target]]*0.5</f>
        <v>0</v>
      </c>
      <c r="R496" s="375"/>
      <c r="S496" s="375"/>
      <c r="T496" s="375"/>
      <c r="U496" s="375"/>
      <c r="V496" s="375"/>
      <c r="W496" s="375"/>
      <c r="X496" s="375"/>
      <c r="Y496" s="375"/>
      <c r="Z496" s="375"/>
      <c r="AA496" s="375"/>
      <c r="AB496" s="375"/>
      <c r="AC496" s="396"/>
      <c r="AD496" s="360"/>
      <c r="AE496" s="360"/>
      <c r="AF496" s="360"/>
      <c r="AG496" s="360"/>
      <c r="AH496" s="360"/>
      <c r="AI496" s="360"/>
    </row>
    <row r="497" spans="1:38" hidden="1" x14ac:dyDescent="0.25">
      <c r="A497" s="390"/>
      <c r="B497" s="369"/>
      <c r="C497" s="369"/>
      <c r="D497" s="372" t="s">
        <v>894</v>
      </c>
      <c r="E497" s="379"/>
      <c r="F497" s="380"/>
      <c r="G497" s="381">
        <v>78</v>
      </c>
      <c r="H497" s="421">
        <v>2000</v>
      </c>
      <c r="I497" s="375">
        <v>78</v>
      </c>
      <c r="J497" s="375"/>
      <c r="K497" s="375"/>
      <c r="L497" s="375">
        <f>Table147[[#This Row],[Ambitious target 2030]]+Table147[[#This Row],[Ambitious target 2030]]*0.5</f>
        <v>0</v>
      </c>
      <c r="M497" s="375"/>
      <c r="N497" s="375"/>
      <c r="O497" s="375"/>
      <c r="P497" s="375"/>
      <c r="Q497" s="375">
        <f>Table147[[#This Row],[Red target]]-Table147[[#This Row],[Red target]]*0.5</f>
        <v>0</v>
      </c>
      <c r="R497" s="375"/>
      <c r="S497" s="375"/>
      <c r="T497" s="375"/>
      <c r="U497" s="375"/>
      <c r="V497" s="375"/>
      <c r="W497" s="375"/>
      <c r="X497" s="375"/>
      <c r="Y497" s="375"/>
      <c r="Z497" s="375"/>
      <c r="AA497" s="375"/>
      <c r="AB497" s="375"/>
      <c r="AC497" s="396"/>
      <c r="AD497" s="360"/>
      <c r="AE497" s="360"/>
      <c r="AF497" s="360"/>
      <c r="AG497" s="360"/>
      <c r="AH497" s="360"/>
      <c r="AI497" s="360"/>
    </row>
    <row r="498" spans="1:38" hidden="1" x14ac:dyDescent="0.25">
      <c r="A498" s="390"/>
      <c r="B498" s="369"/>
      <c r="C498" s="369"/>
      <c r="D498" s="372" t="s">
        <v>897</v>
      </c>
      <c r="E498" s="379"/>
      <c r="F498" s="380"/>
      <c r="G498" s="381">
        <v>76</v>
      </c>
      <c r="H498" s="421">
        <v>2000</v>
      </c>
      <c r="I498" s="375">
        <v>76</v>
      </c>
      <c r="J498" s="375"/>
      <c r="K498" s="375"/>
      <c r="L498" s="375">
        <f>Table147[[#This Row],[Ambitious target 2030]]+Table147[[#This Row],[Ambitious target 2030]]*0.5</f>
        <v>0</v>
      </c>
      <c r="M498" s="375"/>
      <c r="N498" s="375"/>
      <c r="O498" s="375"/>
      <c r="P498" s="375"/>
      <c r="Q498" s="375">
        <f>Table147[[#This Row],[Red target]]-Table147[[#This Row],[Red target]]*0.5</f>
        <v>0</v>
      </c>
      <c r="R498" s="375"/>
      <c r="S498" s="375"/>
      <c r="T498" s="375"/>
      <c r="U498" s="375"/>
      <c r="V498" s="375"/>
      <c r="W498" s="375"/>
      <c r="X498" s="375"/>
      <c r="Y498" s="375"/>
      <c r="Z498" s="375"/>
      <c r="AA498" s="375"/>
      <c r="AB498" s="375"/>
      <c r="AC498" s="401"/>
      <c r="AD498" s="360"/>
      <c r="AE498" s="360"/>
      <c r="AF498" s="360"/>
      <c r="AG498" s="360"/>
      <c r="AH498" s="360"/>
      <c r="AI498" s="360"/>
    </row>
    <row r="499" spans="1:38" hidden="1" x14ac:dyDescent="0.25">
      <c r="A499" s="390"/>
      <c r="B499" s="369"/>
      <c r="C499" s="369"/>
      <c r="D499" s="372" t="s">
        <v>898</v>
      </c>
      <c r="E499" s="379"/>
      <c r="F499" s="380"/>
      <c r="G499" s="381">
        <v>76</v>
      </c>
      <c r="H499" s="421">
        <v>2000</v>
      </c>
      <c r="I499" s="375">
        <v>76</v>
      </c>
      <c r="J499" s="375"/>
      <c r="K499" s="375"/>
      <c r="L499" s="375">
        <f>Table147[[#This Row],[Ambitious target 2030]]+Table147[[#This Row],[Ambitious target 2030]]*0.5</f>
        <v>0</v>
      </c>
      <c r="M499" s="375"/>
      <c r="N499" s="375"/>
      <c r="O499" s="375"/>
      <c r="P499" s="375"/>
      <c r="Q499" s="375">
        <f>Table147[[#This Row],[Red target]]-Table147[[#This Row],[Red target]]*0.5</f>
        <v>0</v>
      </c>
      <c r="R499" s="375"/>
      <c r="S499" s="375"/>
      <c r="T499" s="375"/>
      <c r="U499" s="375"/>
      <c r="V499" s="375"/>
      <c r="W499" s="375"/>
      <c r="X499" s="375"/>
      <c r="Y499" s="375"/>
      <c r="Z499" s="375"/>
      <c r="AA499" s="375"/>
      <c r="AB499" s="375"/>
      <c r="AC499" s="398"/>
      <c r="AD499" s="360"/>
      <c r="AE499" s="360"/>
      <c r="AF499" s="360"/>
      <c r="AG499" s="360"/>
      <c r="AH499" s="360"/>
      <c r="AI499" s="360"/>
    </row>
    <row r="500" spans="1:38" hidden="1" x14ac:dyDescent="0.25">
      <c r="A500" s="390"/>
      <c r="B500" s="369"/>
      <c r="C500" s="369"/>
      <c r="D500" s="372" t="s">
        <v>895</v>
      </c>
      <c r="E500" s="382"/>
      <c r="F500" s="383"/>
      <c r="G500" s="384">
        <v>75</v>
      </c>
      <c r="H500" s="421">
        <v>2000</v>
      </c>
      <c r="I500" s="375">
        <v>75</v>
      </c>
      <c r="J500" s="375"/>
      <c r="K500" s="375"/>
      <c r="L500" s="375">
        <f>Table147[[#This Row],[Ambitious target 2030]]+Table147[[#This Row],[Ambitious target 2030]]*0.5</f>
        <v>0</v>
      </c>
      <c r="M500" s="375"/>
      <c r="N500" s="375"/>
      <c r="O500" s="375"/>
      <c r="P500" s="375"/>
      <c r="Q500" s="375">
        <f>Table147[[#This Row],[Red target]]-Table147[[#This Row],[Red target]]*0.5</f>
        <v>0</v>
      </c>
      <c r="R500" s="375"/>
      <c r="S500" s="375"/>
      <c r="T500" s="375"/>
      <c r="U500" s="375"/>
      <c r="V500" s="375"/>
      <c r="W500" s="375"/>
      <c r="X500" s="375"/>
      <c r="Y500" s="375"/>
      <c r="Z500" s="375"/>
      <c r="AA500" s="375"/>
      <c r="AB500" s="375"/>
      <c r="AC500" s="396"/>
      <c r="AD500" s="360"/>
      <c r="AE500" s="360"/>
      <c r="AF500" s="360"/>
      <c r="AG500" s="360"/>
      <c r="AH500" s="360"/>
      <c r="AI500" s="360"/>
    </row>
    <row r="501" spans="1:38" hidden="1" x14ac:dyDescent="0.25">
      <c r="A501" s="390"/>
      <c r="B501" s="369"/>
      <c r="C501" s="369"/>
      <c r="D501" s="372" t="s">
        <v>896</v>
      </c>
      <c r="E501" s="382"/>
      <c r="F501" s="383"/>
      <c r="G501" s="384">
        <v>73</v>
      </c>
      <c r="H501" s="421">
        <v>2000</v>
      </c>
      <c r="I501" s="375">
        <v>73</v>
      </c>
      <c r="J501" s="375"/>
      <c r="K501" s="375"/>
      <c r="L501" s="375">
        <f>Table147[[#This Row],[Ambitious target 2030]]+Table147[[#This Row],[Ambitious target 2030]]*0.5</f>
        <v>0</v>
      </c>
      <c r="M501" s="375"/>
      <c r="N501" s="375"/>
      <c r="O501" s="375"/>
      <c r="P501" s="375"/>
      <c r="Q501" s="375">
        <f>Table147[[#This Row],[Red target]]-Table147[[#This Row],[Red target]]*0.5</f>
        <v>0</v>
      </c>
      <c r="R501" s="375"/>
      <c r="S501" s="375"/>
      <c r="T501" s="375"/>
      <c r="U501" s="375"/>
      <c r="V501" s="375"/>
      <c r="W501" s="375"/>
      <c r="X501" s="375"/>
      <c r="Y501" s="375"/>
      <c r="Z501" s="375"/>
      <c r="AA501" s="375"/>
      <c r="AB501" s="375"/>
      <c r="AC501" s="396"/>
      <c r="AD501" s="360"/>
      <c r="AE501" s="360"/>
      <c r="AF501" s="360"/>
      <c r="AG501" s="360"/>
      <c r="AH501" s="360"/>
      <c r="AI501" s="360"/>
    </row>
    <row r="502" spans="1:38" hidden="1" x14ac:dyDescent="0.25">
      <c r="A502" s="390"/>
      <c r="B502" s="369"/>
      <c r="C502" s="369"/>
      <c r="D502" s="372" t="s">
        <v>899</v>
      </c>
      <c r="E502" s="382"/>
      <c r="F502" s="383"/>
      <c r="G502" s="384">
        <v>55</v>
      </c>
      <c r="H502" s="421">
        <v>2000</v>
      </c>
      <c r="I502" s="375">
        <v>55</v>
      </c>
      <c r="J502" s="375"/>
      <c r="K502" s="375"/>
      <c r="L502" s="375">
        <f>Table147[[#This Row],[Ambitious target 2030]]+Table147[[#This Row],[Ambitious target 2030]]*0.5</f>
        <v>0</v>
      </c>
      <c r="M502" s="375"/>
      <c r="N502" s="375"/>
      <c r="O502" s="375"/>
      <c r="P502" s="375"/>
      <c r="Q502" s="375">
        <f>Table147[[#This Row],[Red target]]-Table147[[#This Row],[Red target]]*0.5</f>
        <v>0</v>
      </c>
      <c r="R502" s="375"/>
      <c r="S502" s="375"/>
      <c r="T502" s="375"/>
      <c r="U502" s="375"/>
      <c r="V502" s="375"/>
      <c r="W502" s="375"/>
      <c r="X502" s="375"/>
      <c r="Y502" s="375"/>
      <c r="Z502" s="375"/>
      <c r="AA502" s="375"/>
      <c r="AB502" s="375"/>
      <c r="AC502" s="396"/>
      <c r="AD502" s="360"/>
      <c r="AE502" s="360"/>
      <c r="AF502" s="360"/>
      <c r="AG502" s="360"/>
      <c r="AH502" s="360"/>
      <c r="AI502" s="360"/>
    </row>
    <row r="503" spans="1:38" hidden="1" x14ac:dyDescent="0.25">
      <c r="A503" s="402"/>
      <c r="B503" s="370"/>
      <c r="C503" s="370"/>
      <c r="D503" s="400" t="s">
        <v>900</v>
      </c>
      <c r="E503" s="397"/>
      <c r="F503" s="395"/>
      <c r="G503" s="393">
        <v>45</v>
      </c>
      <c r="H503" s="421">
        <v>2000</v>
      </c>
      <c r="I503" s="392">
        <v>45</v>
      </c>
      <c r="J503" s="392"/>
      <c r="K503" s="392"/>
      <c r="L503" s="392">
        <f>Table147[[#This Row],[Ambitious target 2030]]+Table147[[#This Row],[Ambitious target 2030]]*0.5</f>
        <v>0</v>
      </c>
      <c r="M503" s="392"/>
      <c r="N503" s="392"/>
      <c r="O503" s="392"/>
      <c r="P503" s="392"/>
      <c r="Q503" s="392">
        <f>Table147[[#This Row],[Red target]]-Table147[[#This Row],[Red target]]*0.5</f>
        <v>0</v>
      </c>
      <c r="R503" s="392"/>
      <c r="S503" s="392"/>
      <c r="T503" s="392"/>
      <c r="U503" s="392"/>
      <c r="V503" s="392"/>
      <c r="W503" s="392"/>
      <c r="X503" s="392"/>
      <c r="Y503" s="392"/>
      <c r="Z503" s="392"/>
      <c r="AA503" s="392"/>
      <c r="AB503" s="392"/>
      <c r="AC503" s="404"/>
      <c r="AD503" s="360"/>
      <c r="AE503" s="360"/>
      <c r="AF503" s="360"/>
      <c r="AG503" s="360"/>
      <c r="AH503" s="360"/>
      <c r="AI503" s="360"/>
    </row>
    <row r="504" spans="1:38" x14ac:dyDescent="0.25">
      <c r="A504" s="376"/>
      <c r="B504" s="439"/>
      <c r="C504" s="439"/>
      <c r="D504" s="439"/>
      <c r="E504" s="376"/>
      <c r="F504" s="376"/>
      <c r="G504" s="376"/>
      <c r="AJ504" s="376"/>
      <c r="AK504" s="376"/>
      <c r="AL504" s="376"/>
    </row>
    <row r="505" spans="1:38" x14ac:dyDescent="0.25">
      <c r="A505" s="376"/>
      <c r="B505" s="439"/>
      <c r="C505" s="439"/>
      <c r="D505" s="439"/>
      <c r="E505" s="376"/>
      <c r="F505" s="376"/>
      <c r="G505" s="376"/>
      <c r="AJ505" s="376"/>
      <c r="AK505" s="376"/>
      <c r="AL505" s="376"/>
    </row>
    <row r="506" spans="1:38" x14ac:dyDescent="0.25">
      <c r="A506" s="376"/>
      <c r="B506" s="439"/>
      <c r="C506" s="439"/>
      <c r="D506" s="439"/>
      <c r="E506" s="376"/>
      <c r="F506" s="376"/>
      <c r="G506" s="376"/>
      <c r="AJ506" s="376"/>
      <c r="AK506" s="376"/>
      <c r="AL506" s="376"/>
    </row>
    <row r="507" spans="1:38" x14ac:dyDescent="0.25">
      <c r="A507" s="376"/>
      <c r="B507" s="439"/>
      <c r="C507" s="439"/>
      <c r="D507" s="439"/>
      <c r="E507" s="376"/>
      <c r="F507" s="376"/>
      <c r="G507" s="376"/>
      <c r="AJ507" s="376"/>
      <c r="AK507" s="376"/>
      <c r="AL507" s="376"/>
    </row>
    <row r="508" spans="1:38" x14ac:dyDescent="0.25">
      <c r="A508" s="376"/>
      <c r="B508" s="439"/>
      <c r="C508" s="439"/>
      <c r="D508" s="439"/>
      <c r="E508" s="376"/>
      <c r="F508" s="376"/>
      <c r="G508" s="376"/>
      <c r="AJ508" s="376"/>
      <c r="AK508" s="376"/>
      <c r="AL508" s="376"/>
    </row>
    <row r="509" spans="1:38" x14ac:dyDescent="0.25">
      <c r="A509" s="376"/>
      <c r="B509" s="439"/>
      <c r="C509" s="439"/>
      <c r="D509" s="439"/>
      <c r="E509" s="376"/>
      <c r="F509" s="376"/>
      <c r="G509" s="376"/>
      <c r="K509" s="405"/>
      <c r="L509" s="405"/>
      <c r="AJ509" s="376"/>
      <c r="AK509" s="376"/>
      <c r="AL509" s="376"/>
    </row>
    <row r="510" spans="1:38" x14ac:dyDescent="0.25">
      <c r="A510" s="376"/>
      <c r="B510" s="439"/>
      <c r="C510" s="439"/>
      <c r="D510" s="439"/>
      <c r="E510" s="376"/>
      <c r="F510" s="376"/>
      <c r="G510" s="376"/>
      <c r="AJ510" s="376"/>
      <c r="AK510" s="376"/>
      <c r="AL510" s="376"/>
    </row>
    <row r="511" spans="1:38" x14ac:dyDescent="0.25">
      <c r="A511" s="376"/>
      <c r="B511" s="439"/>
      <c r="C511" s="439"/>
      <c r="D511" s="439"/>
      <c r="E511" s="376"/>
      <c r="F511" s="376"/>
      <c r="G511" s="376"/>
      <c r="AJ511" s="376"/>
      <c r="AK511" s="376"/>
      <c r="AL511" s="376"/>
    </row>
    <row r="512" spans="1:38" x14ac:dyDescent="0.25">
      <c r="A512" s="376"/>
      <c r="B512" s="439"/>
      <c r="C512" s="439"/>
      <c r="D512" s="439"/>
      <c r="E512" s="376"/>
      <c r="F512" s="376"/>
      <c r="G512" s="376"/>
      <c r="AJ512" s="376"/>
      <c r="AK512" s="376"/>
      <c r="AL512" s="376"/>
    </row>
    <row r="513" spans="1:38" x14ac:dyDescent="0.25">
      <c r="A513" s="376"/>
      <c r="B513" s="439"/>
      <c r="C513" s="439"/>
      <c r="D513" s="439"/>
      <c r="E513" s="376"/>
      <c r="F513" s="376"/>
      <c r="G513" s="376"/>
      <c r="AJ513" s="376"/>
      <c r="AK513" s="376"/>
      <c r="AL513" s="376"/>
    </row>
    <row r="514" spans="1:38" x14ac:dyDescent="0.25">
      <c r="A514" s="376"/>
      <c r="B514" s="439"/>
      <c r="C514" s="439"/>
      <c r="D514" s="439"/>
      <c r="E514" s="376"/>
      <c r="F514" s="376"/>
      <c r="G514" s="376"/>
      <c r="AJ514" s="376"/>
      <c r="AK514" s="376"/>
      <c r="AL514" s="376"/>
    </row>
    <row r="515" spans="1:38" x14ac:dyDescent="0.25">
      <c r="A515" s="376"/>
      <c r="B515" s="439"/>
      <c r="C515" s="439"/>
      <c r="D515" s="439"/>
      <c r="E515" s="376"/>
      <c r="F515" s="376"/>
      <c r="G515" s="376"/>
      <c r="AJ515" s="376"/>
      <c r="AK515" s="376"/>
      <c r="AL515" s="376"/>
    </row>
    <row r="516" spans="1:38" x14ac:dyDescent="0.25">
      <c r="A516" s="376"/>
      <c r="B516" s="439"/>
      <c r="C516" s="439"/>
      <c r="D516" s="439"/>
      <c r="E516" s="376"/>
      <c r="F516" s="376"/>
      <c r="G516" s="376"/>
      <c r="AJ516" s="376"/>
      <c r="AK516" s="376"/>
      <c r="AL516" s="376"/>
    </row>
    <row r="517" spans="1:38" x14ac:dyDescent="0.25">
      <c r="A517" s="376"/>
      <c r="B517" s="439"/>
      <c r="C517" s="439"/>
      <c r="D517" s="439"/>
      <c r="E517" s="376"/>
      <c r="F517" s="376"/>
      <c r="G517" s="376"/>
      <c r="AJ517" s="376"/>
      <c r="AK517" s="376"/>
      <c r="AL517" s="376"/>
    </row>
    <row r="518" spans="1:38" x14ac:dyDescent="0.25">
      <c r="A518" s="376"/>
      <c r="B518" s="439"/>
      <c r="C518" s="439"/>
      <c r="D518" s="439"/>
      <c r="E518" s="376"/>
      <c r="F518" s="376"/>
      <c r="G518" s="376"/>
      <c r="AJ518" s="376"/>
      <c r="AK518" s="376"/>
      <c r="AL518" s="376"/>
    </row>
    <row r="519" spans="1:38" x14ac:dyDescent="0.25">
      <c r="A519" s="376"/>
      <c r="B519" s="439"/>
      <c r="C519" s="439"/>
      <c r="D519" s="439"/>
      <c r="E519" s="376"/>
      <c r="F519" s="376"/>
      <c r="G519" s="376"/>
      <c r="AJ519" s="376"/>
      <c r="AK519" s="376"/>
      <c r="AL519" s="376"/>
    </row>
    <row r="520" spans="1:38" x14ac:dyDescent="0.25">
      <c r="A520" s="376"/>
      <c r="B520" s="439"/>
      <c r="C520" s="439"/>
      <c r="D520" s="439"/>
      <c r="E520" s="376"/>
      <c r="F520" s="376"/>
      <c r="G520" s="376"/>
      <c r="AJ520" s="376"/>
      <c r="AK520" s="376"/>
      <c r="AL520" s="376"/>
    </row>
    <row r="521" spans="1:38" x14ac:dyDescent="0.25">
      <c r="A521" s="376"/>
      <c r="B521" s="439"/>
      <c r="C521" s="439"/>
      <c r="D521" s="439"/>
      <c r="E521" s="376"/>
      <c r="F521" s="376"/>
      <c r="G521" s="376"/>
      <c r="AJ521" s="376"/>
      <c r="AK521" s="376"/>
      <c r="AL521" s="376"/>
    </row>
    <row r="522" spans="1:38" x14ac:dyDescent="0.25">
      <c r="A522" s="376"/>
      <c r="B522" s="439"/>
      <c r="C522" s="439"/>
      <c r="D522" s="439"/>
      <c r="E522" s="376"/>
      <c r="F522" s="376"/>
      <c r="G522" s="376"/>
      <c r="AJ522" s="376"/>
      <c r="AK522" s="376"/>
      <c r="AL522" s="376"/>
    </row>
    <row r="523" spans="1:38" x14ac:dyDescent="0.25">
      <c r="A523" s="376"/>
      <c r="B523" s="439"/>
      <c r="C523" s="439"/>
      <c r="D523" s="439"/>
      <c r="E523" s="376"/>
      <c r="F523" s="376"/>
      <c r="G523" s="376"/>
      <c r="AJ523" s="376"/>
      <c r="AK523" s="376"/>
      <c r="AL523" s="376"/>
    </row>
    <row r="524" spans="1:38" x14ac:dyDescent="0.25">
      <c r="A524" s="376"/>
      <c r="B524" s="439"/>
      <c r="C524" s="439"/>
      <c r="D524" s="439"/>
      <c r="E524" s="376"/>
      <c r="F524" s="376"/>
      <c r="G524" s="376"/>
      <c r="AJ524" s="376"/>
      <c r="AK524" s="376"/>
      <c r="AL524" s="376"/>
    </row>
    <row r="525" spans="1:38" x14ac:dyDescent="0.25">
      <c r="A525" s="376"/>
      <c r="B525" s="439"/>
      <c r="C525" s="439"/>
      <c r="D525" s="439"/>
      <c r="E525" s="376"/>
      <c r="F525" s="376"/>
      <c r="G525" s="376"/>
      <c r="AJ525" s="376"/>
      <c r="AK525" s="376"/>
      <c r="AL525" s="376"/>
    </row>
    <row r="526" spans="1:38" x14ac:dyDescent="0.25">
      <c r="A526" s="376"/>
      <c r="B526" s="439"/>
      <c r="C526" s="439"/>
      <c r="D526" s="439"/>
      <c r="E526" s="376"/>
      <c r="F526" s="376"/>
      <c r="G526" s="376"/>
      <c r="AJ526" s="376"/>
      <c r="AK526" s="376"/>
      <c r="AL526" s="376"/>
    </row>
    <row r="527" spans="1:38" x14ac:dyDescent="0.25">
      <c r="A527" s="376"/>
      <c r="B527" s="439"/>
      <c r="C527" s="439"/>
      <c r="D527" s="439"/>
      <c r="E527" s="376"/>
      <c r="F527" s="376"/>
      <c r="G527" s="376"/>
      <c r="AJ527" s="376"/>
      <c r="AK527" s="376"/>
      <c r="AL527" s="376"/>
    </row>
    <row r="528" spans="1:38" x14ac:dyDescent="0.25">
      <c r="A528" s="376"/>
      <c r="B528" s="439"/>
      <c r="C528" s="439"/>
      <c r="D528" s="439"/>
      <c r="E528" s="376"/>
      <c r="F528" s="376"/>
      <c r="G528" s="376"/>
      <c r="AJ528" s="376"/>
      <c r="AK528" s="376"/>
      <c r="AL528" s="376"/>
    </row>
    <row r="529" spans="1:38" x14ac:dyDescent="0.25">
      <c r="A529" s="376"/>
      <c r="B529" s="439"/>
      <c r="C529" s="439"/>
      <c r="D529" s="439"/>
      <c r="E529" s="376"/>
      <c r="F529" s="376"/>
      <c r="G529" s="376"/>
      <c r="AJ529" s="376"/>
      <c r="AK529" s="376"/>
      <c r="AL529" s="376"/>
    </row>
    <row r="530" spans="1:38" x14ac:dyDescent="0.25">
      <c r="A530" s="376"/>
      <c r="B530" s="439"/>
      <c r="C530" s="439"/>
      <c r="D530" s="439"/>
      <c r="E530" s="376"/>
      <c r="F530" s="376"/>
      <c r="G530" s="376"/>
      <c r="AJ530" s="376"/>
      <c r="AK530" s="376"/>
      <c r="AL530" s="376"/>
    </row>
    <row r="531" spans="1:38" x14ac:dyDescent="0.25">
      <c r="A531" s="376"/>
      <c r="B531" s="439"/>
      <c r="C531" s="439"/>
      <c r="D531" s="439"/>
      <c r="E531" s="376"/>
      <c r="F531" s="376"/>
      <c r="G531" s="376"/>
      <c r="AJ531" s="376"/>
      <c r="AK531" s="376"/>
      <c r="AL531" s="376"/>
    </row>
    <row r="532" spans="1:38" x14ac:dyDescent="0.25">
      <c r="A532" s="376"/>
      <c r="B532" s="439"/>
      <c r="C532" s="439"/>
      <c r="D532" s="439"/>
      <c r="E532" s="376"/>
      <c r="F532" s="376"/>
      <c r="G532" s="376"/>
      <c r="AJ532" s="376"/>
      <c r="AK532" s="376"/>
      <c r="AL532" s="376"/>
    </row>
    <row r="533" spans="1:38" x14ac:dyDescent="0.25">
      <c r="A533" s="376"/>
      <c r="B533" s="439"/>
      <c r="C533" s="439"/>
      <c r="D533" s="439"/>
      <c r="E533" s="376"/>
      <c r="F533" s="376"/>
      <c r="G533" s="376"/>
      <c r="AJ533" s="376"/>
      <c r="AK533" s="376"/>
      <c r="AL533" s="376"/>
    </row>
    <row r="534" spans="1:38" x14ac:dyDescent="0.25">
      <c r="A534" s="376"/>
      <c r="B534" s="439"/>
      <c r="C534" s="439"/>
      <c r="D534" s="439"/>
      <c r="E534" s="376"/>
      <c r="F534" s="376"/>
      <c r="G534" s="376"/>
      <c r="AJ534" s="376"/>
      <c r="AK534" s="376"/>
      <c r="AL534" s="376"/>
    </row>
    <row r="535" spans="1:38" x14ac:dyDescent="0.25">
      <c r="A535" s="376"/>
      <c r="B535" s="439"/>
      <c r="C535" s="439"/>
      <c r="D535" s="439"/>
      <c r="E535" s="376"/>
      <c r="F535" s="376"/>
      <c r="G535" s="376"/>
      <c r="AJ535" s="376"/>
      <c r="AK535" s="376"/>
      <c r="AL535" s="376"/>
    </row>
    <row r="536" spans="1:38" x14ac:dyDescent="0.25">
      <c r="A536" s="376"/>
      <c r="B536" s="439"/>
      <c r="C536" s="439"/>
      <c r="D536" s="439"/>
      <c r="E536" s="376"/>
      <c r="F536" s="376"/>
      <c r="G536" s="376"/>
      <c r="AJ536" s="376"/>
      <c r="AK536" s="376"/>
      <c r="AL536" s="376"/>
    </row>
    <row r="537" spans="1:38" x14ac:dyDescent="0.25">
      <c r="A537" s="376"/>
      <c r="B537" s="439"/>
      <c r="C537" s="439"/>
      <c r="D537" s="439"/>
      <c r="E537" s="376"/>
      <c r="F537" s="376"/>
      <c r="G537" s="376"/>
      <c r="AJ537" s="376"/>
      <c r="AK537" s="376"/>
      <c r="AL537" s="376"/>
    </row>
    <row r="538" spans="1:38" x14ac:dyDescent="0.25">
      <c r="A538" s="376"/>
      <c r="B538" s="439"/>
      <c r="C538" s="439"/>
      <c r="D538" s="439"/>
      <c r="E538" s="376"/>
      <c r="F538" s="376"/>
      <c r="G538" s="376"/>
      <c r="AJ538" s="376"/>
      <c r="AK538" s="376"/>
      <c r="AL538" s="376"/>
    </row>
    <row r="539" spans="1:38" x14ac:dyDescent="0.25">
      <c r="A539" s="376"/>
      <c r="B539" s="439"/>
      <c r="C539" s="439"/>
      <c r="D539" s="439"/>
      <c r="E539" s="376"/>
      <c r="F539" s="376"/>
      <c r="G539" s="376"/>
      <c r="AJ539" s="376"/>
      <c r="AK539" s="376"/>
      <c r="AL539" s="376"/>
    </row>
    <row r="540" spans="1:38" x14ac:dyDescent="0.25">
      <c r="A540" s="376"/>
      <c r="B540" s="439"/>
      <c r="C540" s="439"/>
      <c r="D540" s="439"/>
      <c r="E540" s="376"/>
      <c r="F540" s="376"/>
      <c r="G540" s="376"/>
      <c r="AJ540" s="376"/>
      <c r="AK540" s="376"/>
      <c r="AL540" s="376"/>
    </row>
    <row r="541" spans="1:38" x14ac:dyDescent="0.25">
      <c r="A541" s="376"/>
      <c r="B541" s="439"/>
      <c r="C541" s="439"/>
      <c r="D541" s="439"/>
      <c r="E541" s="376"/>
      <c r="F541" s="376"/>
      <c r="G541" s="376"/>
      <c r="AJ541" s="376"/>
      <c r="AK541" s="376"/>
      <c r="AL541" s="376"/>
    </row>
    <row r="542" spans="1:38" x14ac:dyDescent="0.25">
      <c r="A542" s="376"/>
      <c r="B542" s="439"/>
      <c r="C542" s="439"/>
      <c r="D542" s="439"/>
      <c r="E542" s="376"/>
      <c r="F542" s="376"/>
      <c r="G542" s="376"/>
      <c r="AJ542" s="376"/>
      <c r="AK542" s="376"/>
      <c r="AL542" s="376"/>
    </row>
    <row r="543" spans="1:38" x14ac:dyDescent="0.25">
      <c r="A543" s="376"/>
      <c r="B543" s="439"/>
      <c r="C543" s="439"/>
      <c r="D543" s="439"/>
      <c r="E543" s="376"/>
      <c r="F543" s="376"/>
      <c r="G543" s="376"/>
      <c r="AJ543" s="376"/>
      <c r="AK543" s="376"/>
      <c r="AL543" s="376"/>
    </row>
    <row r="544" spans="1:38" x14ac:dyDescent="0.25">
      <c r="A544" s="376"/>
      <c r="B544" s="439"/>
      <c r="C544" s="439"/>
      <c r="D544" s="439"/>
      <c r="E544" s="376"/>
      <c r="F544" s="376"/>
      <c r="G544" s="376"/>
      <c r="AJ544" s="376"/>
      <c r="AK544" s="376"/>
      <c r="AL544" s="376"/>
    </row>
    <row r="545" spans="1:38" x14ac:dyDescent="0.25">
      <c r="A545" s="376"/>
      <c r="B545" s="439"/>
      <c r="C545" s="439"/>
      <c r="D545" s="439"/>
      <c r="E545" s="376"/>
      <c r="F545" s="376"/>
      <c r="G545" s="376"/>
      <c r="AJ545" s="376"/>
      <c r="AK545" s="376"/>
      <c r="AL545" s="376"/>
    </row>
    <row r="546" spans="1:38" x14ac:dyDescent="0.25">
      <c r="A546" s="376"/>
      <c r="B546" s="439"/>
      <c r="C546" s="439"/>
      <c r="D546" s="439"/>
      <c r="E546" s="376"/>
      <c r="F546" s="376"/>
      <c r="G546" s="376"/>
      <c r="AJ546" s="376"/>
      <c r="AK546" s="376"/>
      <c r="AL546" s="376"/>
    </row>
    <row r="547" spans="1:38" x14ac:dyDescent="0.25">
      <c r="A547" s="376"/>
      <c r="B547" s="439"/>
      <c r="C547" s="439"/>
      <c r="D547" s="439"/>
      <c r="E547" s="376"/>
      <c r="F547" s="376"/>
      <c r="G547" s="376"/>
      <c r="AJ547" s="376"/>
      <c r="AK547" s="376"/>
      <c r="AL547" s="376"/>
    </row>
    <row r="548" spans="1:38" x14ac:dyDescent="0.25">
      <c r="A548" s="376"/>
      <c r="B548" s="439"/>
      <c r="C548" s="439"/>
      <c r="D548" s="439"/>
      <c r="E548" s="376"/>
      <c r="F548" s="376"/>
      <c r="G548" s="376"/>
      <c r="AJ548" s="376"/>
      <c r="AK548" s="376"/>
      <c r="AL548" s="376"/>
    </row>
    <row r="549" spans="1:38" x14ac:dyDescent="0.25">
      <c r="A549" s="376"/>
      <c r="B549" s="439"/>
      <c r="C549" s="439"/>
      <c r="D549" s="439"/>
      <c r="E549" s="376"/>
      <c r="F549" s="376"/>
      <c r="G549" s="376"/>
      <c r="AJ549" s="376"/>
      <c r="AK549" s="376"/>
      <c r="AL549" s="376"/>
    </row>
    <row r="550" spans="1:38" x14ac:dyDescent="0.25">
      <c r="A550" s="376"/>
      <c r="B550" s="439"/>
      <c r="C550" s="439"/>
      <c r="D550" s="439"/>
      <c r="E550" s="376"/>
      <c r="F550" s="376"/>
      <c r="G550" s="376"/>
      <c r="AJ550" s="376"/>
      <c r="AK550" s="376"/>
      <c r="AL550" s="376"/>
    </row>
    <row r="551" spans="1:38" x14ac:dyDescent="0.25">
      <c r="A551" s="376"/>
      <c r="B551" s="439"/>
      <c r="C551" s="439"/>
      <c r="D551" s="439"/>
      <c r="E551" s="376"/>
      <c r="F551" s="376"/>
      <c r="G551" s="376"/>
      <c r="AJ551" s="376"/>
      <c r="AK551" s="376"/>
      <c r="AL551" s="376"/>
    </row>
    <row r="552" spans="1:38" x14ac:dyDescent="0.25">
      <c r="A552" s="376"/>
      <c r="B552" s="439"/>
      <c r="C552" s="439"/>
      <c r="D552" s="439"/>
      <c r="E552" s="376"/>
      <c r="F552" s="376"/>
      <c r="G552" s="376"/>
      <c r="AJ552" s="376"/>
      <c r="AK552" s="376"/>
      <c r="AL552" s="376"/>
    </row>
    <row r="553" spans="1:38" x14ac:dyDescent="0.25">
      <c r="A553" s="376"/>
      <c r="B553" s="439"/>
      <c r="C553" s="439"/>
      <c r="D553" s="439"/>
      <c r="E553" s="376"/>
      <c r="F553" s="376"/>
      <c r="G553" s="376"/>
      <c r="AJ553" s="376"/>
      <c r="AK553" s="376"/>
      <c r="AL553" s="376"/>
    </row>
    <row r="554" spans="1:38" x14ac:dyDescent="0.25">
      <c r="A554" s="376"/>
      <c r="B554" s="439"/>
      <c r="C554" s="439"/>
      <c r="D554" s="439"/>
      <c r="E554" s="376"/>
      <c r="F554" s="376"/>
      <c r="G554" s="376"/>
      <c r="AJ554" s="376"/>
      <c r="AK554" s="376"/>
      <c r="AL554" s="376"/>
    </row>
    <row r="555" spans="1:38" x14ac:dyDescent="0.25">
      <c r="A555" s="376"/>
      <c r="B555" s="439"/>
      <c r="C555" s="439"/>
      <c r="D555" s="439"/>
      <c r="E555" s="376"/>
      <c r="F555" s="376"/>
      <c r="G555" s="376"/>
      <c r="AJ555" s="376"/>
      <c r="AK555" s="376"/>
      <c r="AL555" s="376"/>
    </row>
    <row r="556" spans="1:38" x14ac:dyDescent="0.25">
      <c r="A556" s="376"/>
      <c r="B556" s="439"/>
      <c r="C556" s="439"/>
      <c r="D556" s="439"/>
      <c r="E556" s="376"/>
      <c r="F556" s="376"/>
      <c r="G556" s="376"/>
      <c r="AJ556" s="376"/>
      <c r="AK556" s="376"/>
      <c r="AL556" s="376"/>
    </row>
    <row r="557" spans="1:38" x14ac:dyDescent="0.25">
      <c r="A557" s="376"/>
      <c r="B557" s="439"/>
      <c r="C557" s="439"/>
      <c r="D557" s="439"/>
      <c r="E557" s="376"/>
      <c r="F557" s="376"/>
      <c r="G557" s="376"/>
      <c r="AJ557" s="376"/>
      <c r="AK557" s="376"/>
      <c r="AL557" s="376"/>
    </row>
    <row r="558" spans="1:38" x14ac:dyDescent="0.25">
      <c r="A558" s="376"/>
      <c r="B558" s="439"/>
      <c r="C558" s="439"/>
      <c r="D558" s="439"/>
      <c r="E558" s="376"/>
      <c r="F558" s="376"/>
      <c r="G558" s="376"/>
      <c r="AJ558" s="376"/>
      <c r="AK558" s="376"/>
      <c r="AL558" s="376"/>
    </row>
    <row r="559" spans="1:38" x14ac:dyDescent="0.25">
      <c r="A559" s="376"/>
      <c r="B559" s="439"/>
      <c r="C559" s="439"/>
      <c r="D559" s="439"/>
      <c r="E559" s="376"/>
      <c r="F559" s="376"/>
      <c r="G559" s="376"/>
      <c r="AJ559" s="376"/>
      <c r="AK559" s="376"/>
      <c r="AL559" s="376"/>
    </row>
    <row r="560" spans="1:38" x14ac:dyDescent="0.25">
      <c r="A560" s="376"/>
      <c r="B560" s="439"/>
      <c r="C560" s="439"/>
      <c r="D560" s="439"/>
      <c r="E560" s="376"/>
      <c r="F560" s="376"/>
      <c r="G560" s="376"/>
      <c r="AJ560" s="376"/>
      <c r="AK560" s="376"/>
      <c r="AL560" s="376"/>
    </row>
    <row r="561" spans="1:38" x14ac:dyDescent="0.25">
      <c r="A561" s="376"/>
      <c r="B561" s="439"/>
      <c r="C561" s="439"/>
      <c r="D561" s="439"/>
      <c r="E561" s="376"/>
      <c r="F561" s="376"/>
      <c r="G561" s="376"/>
      <c r="AJ561" s="376"/>
      <c r="AK561" s="376"/>
      <c r="AL561" s="376"/>
    </row>
    <row r="562" spans="1:38" x14ac:dyDescent="0.25">
      <c r="A562" s="376"/>
      <c r="B562" s="439"/>
      <c r="C562" s="439"/>
      <c r="D562" s="439"/>
      <c r="E562" s="376"/>
      <c r="F562" s="376"/>
      <c r="G562" s="376"/>
      <c r="AJ562" s="376"/>
      <c r="AK562" s="376"/>
      <c r="AL562" s="376"/>
    </row>
    <row r="563" spans="1:38" x14ac:dyDescent="0.25">
      <c r="A563" s="376"/>
      <c r="B563" s="439"/>
      <c r="C563" s="439"/>
      <c r="D563" s="439"/>
      <c r="E563" s="376"/>
      <c r="F563" s="376"/>
      <c r="G563" s="376"/>
      <c r="AJ563" s="376"/>
      <c r="AK563" s="376"/>
      <c r="AL563" s="376"/>
    </row>
    <row r="564" spans="1:38" x14ac:dyDescent="0.25">
      <c r="A564" s="376"/>
      <c r="B564" s="439"/>
      <c r="C564" s="439"/>
      <c r="D564" s="439"/>
      <c r="E564" s="376"/>
      <c r="F564" s="376"/>
      <c r="G564" s="376"/>
      <c r="AJ564" s="376"/>
      <c r="AK564" s="376"/>
      <c r="AL564" s="376"/>
    </row>
    <row r="565" spans="1:38" x14ac:dyDescent="0.25">
      <c r="A565" s="376"/>
      <c r="B565" s="439"/>
      <c r="C565" s="439"/>
      <c r="D565" s="439"/>
      <c r="E565" s="376"/>
      <c r="F565" s="376"/>
      <c r="G565" s="376"/>
      <c r="AJ565" s="376"/>
      <c r="AK565" s="376"/>
      <c r="AL565" s="376"/>
    </row>
    <row r="566" spans="1:38" x14ac:dyDescent="0.25">
      <c r="A566" s="376"/>
      <c r="B566" s="439"/>
      <c r="C566" s="439"/>
      <c r="D566" s="439"/>
      <c r="E566" s="376"/>
      <c r="F566" s="376"/>
      <c r="G566" s="376"/>
      <c r="AJ566" s="376"/>
      <c r="AK566" s="376"/>
      <c r="AL566" s="376"/>
    </row>
    <row r="567" spans="1:38" x14ac:dyDescent="0.25">
      <c r="A567" s="376"/>
      <c r="B567" s="439"/>
      <c r="C567" s="439"/>
      <c r="D567" s="439"/>
      <c r="E567" s="376"/>
      <c r="F567" s="376"/>
      <c r="G567" s="376"/>
      <c r="AJ567" s="376"/>
      <c r="AK567" s="376"/>
      <c r="AL567" s="376"/>
    </row>
    <row r="568" spans="1:38" x14ac:dyDescent="0.25">
      <c r="A568" s="376"/>
      <c r="B568" s="439"/>
      <c r="C568" s="439"/>
      <c r="D568" s="439"/>
      <c r="E568" s="376"/>
      <c r="F568" s="376"/>
      <c r="G568" s="376"/>
      <c r="AJ568" s="376"/>
      <c r="AK568" s="376"/>
      <c r="AL568" s="376"/>
    </row>
    <row r="569" spans="1:38" x14ac:dyDescent="0.25">
      <c r="A569" s="376"/>
      <c r="B569" s="439"/>
      <c r="C569" s="439"/>
      <c r="D569" s="439"/>
      <c r="E569" s="376"/>
      <c r="F569" s="376"/>
      <c r="G569" s="376"/>
      <c r="AJ569" s="376"/>
      <c r="AK569" s="376"/>
      <c r="AL569" s="376"/>
    </row>
    <row r="570" spans="1:38" x14ac:dyDescent="0.25">
      <c r="A570" s="376"/>
      <c r="B570" s="439"/>
      <c r="C570" s="439"/>
      <c r="D570" s="439"/>
      <c r="E570" s="376"/>
      <c r="F570" s="376"/>
      <c r="G570" s="376"/>
      <c r="AJ570" s="376"/>
      <c r="AK570" s="376"/>
      <c r="AL570" s="376"/>
    </row>
    <row r="571" spans="1:38" x14ac:dyDescent="0.25">
      <c r="A571" s="376"/>
      <c r="B571" s="439"/>
      <c r="C571" s="439"/>
      <c r="D571" s="439"/>
      <c r="E571" s="376"/>
      <c r="F571" s="376"/>
      <c r="G571" s="376"/>
      <c r="AJ571" s="376"/>
      <c r="AK571" s="376"/>
      <c r="AL571" s="376"/>
    </row>
    <row r="572" spans="1:38" x14ac:dyDescent="0.25">
      <c r="A572" s="376"/>
      <c r="B572" s="439"/>
      <c r="C572" s="439"/>
      <c r="D572" s="439"/>
      <c r="E572" s="376"/>
      <c r="F572" s="376"/>
      <c r="G572" s="376"/>
      <c r="AJ572" s="376"/>
      <c r="AK572" s="376"/>
      <c r="AL572" s="376"/>
    </row>
    <row r="573" spans="1:38" x14ac:dyDescent="0.25">
      <c r="A573" s="376"/>
      <c r="B573" s="439"/>
      <c r="C573" s="439"/>
      <c r="D573" s="439"/>
      <c r="E573" s="376"/>
      <c r="F573" s="376"/>
      <c r="G573" s="376"/>
      <c r="AJ573" s="376"/>
      <c r="AK573" s="376"/>
      <c r="AL573" s="376"/>
    </row>
    <row r="574" spans="1:38" x14ac:dyDescent="0.25">
      <c r="A574" s="376"/>
      <c r="B574" s="439"/>
      <c r="C574" s="439"/>
      <c r="D574" s="439"/>
      <c r="E574" s="376"/>
      <c r="F574" s="376"/>
      <c r="G574" s="376"/>
      <c r="AJ574" s="376"/>
      <c r="AK574" s="376"/>
      <c r="AL574" s="376"/>
    </row>
    <row r="575" spans="1:38" x14ac:dyDescent="0.25">
      <c r="A575" s="376"/>
      <c r="B575" s="439"/>
      <c r="C575" s="439"/>
      <c r="D575" s="439"/>
      <c r="E575" s="376"/>
      <c r="F575" s="376"/>
      <c r="G575" s="376"/>
      <c r="AJ575" s="376"/>
      <c r="AK575" s="376"/>
      <c r="AL575" s="376"/>
    </row>
    <row r="576" spans="1:38" x14ac:dyDescent="0.25">
      <c r="A576" s="376"/>
      <c r="B576" s="439"/>
      <c r="C576" s="439"/>
      <c r="D576" s="439"/>
      <c r="E576" s="376"/>
      <c r="F576" s="376"/>
      <c r="G576" s="376"/>
      <c r="AJ576" s="376"/>
      <c r="AK576" s="376"/>
      <c r="AL576" s="376"/>
    </row>
    <row r="577" spans="1:38" x14ac:dyDescent="0.25">
      <c r="A577" s="376"/>
      <c r="B577" s="439"/>
      <c r="C577" s="439"/>
      <c r="D577" s="439"/>
      <c r="E577" s="376"/>
      <c r="F577" s="376"/>
      <c r="G577" s="376"/>
      <c r="AJ577" s="376"/>
      <c r="AK577" s="376"/>
      <c r="AL577" s="376"/>
    </row>
    <row r="578" spans="1:38" x14ac:dyDescent="0.25">
      <c r="A578" s="376"/>
      <c r="B578" s="439"/>
      <c r="C578" s="439"/>
      <c r="D578" s="439"/>
      <c r="E578" s="376"/>
      <c r="F578" s="376"/>
      <c r="G578" s="376"/>
      <c r="AJ578" s="376"/>
      <c r="AK578" s="376"/>
      <c r="AL578" s="376"/>
    </row>
    <row r="579" spans="1:38" x14ac:dyDescent="0.25">
      <c r="A579" s="376"/>
      <c r="B579" s="439"/>
      <c r="C579" s="439"/>
      <c r="D579" s="439"/>
      <c r="E579" s="376"/>
      <c r="F579" s="376"/>
      <c r="G579" s="376"/>
      <c r="AJ579" s="376"/>
      <c r="AK579" s="376"/>
      <c r="AL579" s="376"/>
    </row>
    <row r="580" spans="1:38" x14ac:dyDescent="0.25">
      <c r="A580" s="376"/>
      <c r="B580" s="439"/>
      <c r="C580" s="439"/>
      <c r="D580" s="439"/>
      <c r="E580" s="376"/>
      <c r="F580" s="376"/>
      <c r="G580" s="376"/>
      <c r="AJ580" s="376"/>
      <c r="AK580" s="376"/>
      <c r="AL580" s="376"/>
    </row>
    <row r="581" spans="1:38" x14ac:dyDescent="0.25">
      <c r="A581" s="376"/>
      <c r="B581" s="439"/>
      <c r="C581" s="439"/>
      <c r="D581" s="439"/>
      <c r="E581" s="376"/>
      <c r="F581" s="376"/>
      <c r="G581" s="376"/>
      <c r="AJ581" s="376"/>
      <c r="AK581" s="376"/>
      <c r="AL581" s="376"/>
    </row>
    <row r="582" spans="1:38" x14ac:dyDescent="0.25">
      <c r="A582" s="376"/>
      <c r="B582" s="439"/>
      <c r="C582" s="439"/>
      <c r="D582" s="439"/>
      <c r="E582" s="376"/>
      <c r="F582" s="376"/>
      <c r="G582" s="376"/>
      <c r="AJ582" s="376"/>
      <c r="AK582" s="376"/>
      <c r="AL582" s="376"/>
    </row>
    <row r="583" spans="1:38" x14ac:dyDescent="0.25">
      <c r="A583" s="376"/>
      <c r="B583" s="439"/>
      <c r="C583" s="439"/>
      <c r="D583" s="439"/>
      <c r="E583" s="376"/>
      <c r="F583" s="376"/>
      <c r="G583" s="376"/>
      <c r="AJ583" s="376"/>
      <c r="AK583" s="376"/>
      <c r="AL583" s="376"/>
    </row>
    <row r="584" spans="1:38" x14ac:dyDescent="0.25">
      <c r="A584" s="376"/>
      <c r="B584" s="439"/>
      <c r="C584" s="439"/>
      <c r="D584" s="439"/>
      <c r="E584" s="376"/>
      <c r="F584" s="376"/>
      <c r="G584" s="376"/>
      <c r="AJ584" s="376"/>
      <c r="AK584" s="376"/>
      <c r="AL584" s="376"/>
    </row>
    <row r="585" spans="1:38" x14ac:dyDescent="0.25">
      <c r="A585" s="376"/>
      <c r="B585" s="439"/>
      <c r="C585" s="439"/>
      <c r="D585" s="439"/>
      <c r="E585" s="376"/>
      <c r="F585" s="376"/>
      <c r="G585" s="376"/>
      <c r="AJ585" s="376"/>
      <c r="AK585" s="376"/>
      <c r="AL585" s="376"/>
    </row>
    <row r="586" spans="1:38" x14ac:dyDescent="0.25">
      <c r="A586" s="376"/>
      <c r="B586" s="439"/>
      <c r="C586" s="439"/>
      <c r="D586" s="439"/>
      <c r="E586" s="376"/>
      <c r="F586" s="376"/>
      <c r="G586" s="376"/>
      <c r="AJ586" s="376"/>
      <c r="AK586" s="376"/>
      <c r="AL586" s="376"/>
    </row>
    <row r="587" spans="1:38" x14ac:dyDescent="0.25">
      <c r="A587" s="376"/>
      <c r="B587" s="439"/>
      <c r="C587" s="439"/>
      <c r="D587" s="439"/>
      <c r="E587" s="376"/>
      <c r="F587" s="376"/>
      <c r="G587" s="376"/>
      <c r="AJ587" s="376"/>
      <c r="AK587" s="376"/>
      <c r="AL587" s="376"/>
    </row>
    <row r="588" spans="1:38" x14ac:dyDescent="0.25">
      <c r="A588" s="376"/>
      <c r="B588" s="439"/>
      <c r="C588" s="439"/>
      <c r="D588" s="439"/>
      <c r="E588" s="376"/>
      <c r="F588" s="376"/>
      <c r="G588" s="376"/>
      <c r="AJ588" s="376"/>
      <c r="AK588" s="376"/>
      <c r="AL588" s="376"/>
    </row>
    <row r="589" spans="1:38" x14ac:dyDescent="0.25">
      <c r="A589" s="376"/>
      <c r="B589" s="439"/>
      <c r="C589" s="439"/>
      <c r="D589" s="439"/>
      <c r="E589" s="376"/>
      <c r="F589" s="376"/>
      <c r="G589" s="376"/>
      <c r="AJ589" s="376"/>
      <c r="AK589" s="376"/>
      <c r="AL589" s="376"/>
    </row>
    <row r="590" spans="1:38" x14ac:dyDescent="0.25">
      <c r="A590" s="376"/>
      <c r="B590" s="439"/>
      <c r="C590" s="439"/>
      <c r="D590" s="439"/>
      <c r="E590" s="376"/>
      <c r="F590" s="376"/>
      <c r="G590" s="376"/>
      <c r="AJ590" s="376"/>
      <c r="AK590" s="376"/>
      <c r="AL590" s="376"/>
    </row>
    <row r="591" spans="1:38" x14ac:dyDescent="0.25">
      <c r="A591" s="376"/>
      <c r="B591" s="439"/>
      <c r="C591" s="439"/>
      <c r="D591" s="439"/>
      <c r="E591" s="376"/>
      <c r="F591" s="376"/>
      <c r="G591" s="376"/>
      <c r="AJ591" s="376"/>
      <c r="AK591" s="376"/>
      <c r="AL591" s="376"/>
    </row>
    <row r="592" spans="1:38" x14ac:dyDescent="0.25">
      <c r="A592" s="376"/>
      <c r="B592" s="439"/>
      <c r="C592" s="439"/>
      <c r="D592" s="439"/>
      <c r="E592" s="376"/>
      <c r="F592" s="376"/>
      <c r="G592" s="376"/>
      <c r="AJ592" s="376"/>
      <c r="AK592" s="376"/>
      <c r="AL592" s="376"/>
    </row>
    <row r="593" spans="1:38" x14ac:dyDescent="0.25">
      <c r="A593" s="376"/>
      <c r="B593" s="439"/>
      <c r="C593" s="439"/>
      <c r="D593" s="439"/>
      <c r="E593" s="376"/>
      <c r="F593" s="376"/>
      <c r="G593" s="376"/>
      <c r="AJ593" s="376"/>
      <c r="AK593" s="376"/>
      <c r="AL593" s="376"/>
    </row>
    <row r="594" spans="1:38" x14ac:dyDescent="0.25">
      <c r="A594" s="376"/>
      <c r="B594" s="439"/>
      <c r="C594" s="439"/>
      <c r="D594" s="439"/>
      <c r="E594" s="376"/>
      <c r="F594" s="376"/>
      <c r="G594" s="376"/>
      <c r="AJ594" s="376"/>
      <c r="AK594" s="376"/>
      <c r="AL594" s="376"/>
    </row>
    <row r="595" spans="1:38" x14ac:dyDescent="0.25">
      <c r="A595" s="376"/>
      <c r="B595" s="439"/>
      <c r="C595" s="439"/>
      <c r="D595" s="439"/>
      <c r="E595" s="376"/>
      <c r="F595" s="376"/>
      <c r="G595" s="376"/>
      <c r="AJ595" s="376"/>
      <c r="AK595" s="376"/>
      <c r="AL595" s="376"/>
    </row>
    <row r="596" spans="1:38" x14ac:dyDescent="0.25">
      <c r="A596" s="376"/>
      <c r="B596" s="439"/>
      <c r="C596" s="439"/>
      <c r="D596" s="439"/>
      <c r="E596" s="376"/>
      <c r="F596" s="376"/>
      <c r="G596" s="376"/>
      <c r="AJ596" s="376"/>
      <c r="AK596" s="376"/>
      <c r="AL596" s="376"/>
    </row>
    <row r="597" spans="1:38" x14ac:dyDescent="0.25">
      <c r="A597" s="376"/>
      <c r="B597" s="439"/>
      <c r="C597" s="439"/>
      <c r="D597" s="439"/>
      <c r="E597" s="376"/>
      <c r="F597" s="376"/>
      <c r="G597" s="376"/>
      <c r="AJ597" s="376"/>
      <c r="AK597" s="376"/>
      <c r="AL597" s="376"/>
    </row>
    <row r="598" spans="1:38" x14ac:dyDescent="0.25">
      <c r="A598" s="376"/>
      <c r="B598" s="439"/>
      <c r="C598" s="439"/>
      <c r="D598" s="439"/>
      <c r="E598" s="376"/>
      <c r="F598" s="376"/>
      <c r="G598" s="376"/>
      <c r="AJ598" s="376"/>
      <c r="AK598" s="376"/>
      <c r="AL598" s="376"/>
    </row>
    <row r="599" spans="1:38" x14ac:dyDescent="0.25">
      <c r="A599" s="376"/>
      <c r="B599" s="439"/>
      <c r="C599" s="439"/>
      <c r="D599" s="439"/>
      <c r="E599" s="376"/>
      <c r="F599" s="376"/>
      <c r="G599" s="376"/>
      <c r="AJ599" s="376"/>
      <c r="AK599" s="376"/>
      <c r="AL599" s="376"/>
    </row>
    <row r="600" spans="1:38" x14ac:dyDescent="0.25">
      <c r="A600" s="376"/>
      <c r="B600" s="439"/>
      <c r="C600" s="439"/>
      <c r="D600" s="439"/>
      <c r="E600" s="376"/>
      <c r="F600" s="376"/>
      <c r="G600" s="376"/>
      <c r="AJ600" s="376"/>
      <c r="AK600" s="376"/>
      <c r="AL600" s="376"/>
    </row>
    <row r="601" spans="1:38" x14ac:dyDescent="0.25">
      <c r="A601" s="376"/>
      <c r="B601" s="439"/>
      <c r="C601" s="439"/>
      <c r="D601" s="439"/>
      <c r="E601" s="376"/>
      <c r="F601" s="376"/>
      <c r="G601" s="376"/>
      <c r="AJ601" s="376"/>
      <c r="AK601" s="376"/>
      <c r="AL601" s="376"/>
    </row>
    <row r="602" spans="1:38" x14ac:dyDescent="0.25">
      <c r="A602" s="376"/>
      <c r="B602" s="439"/>
      <c r="C602" s="439"/>
      <c r="D602" s="439"/>
      <c r="E602" s="376"/>
      <c r="F602" s="376"/>
      <c r="G602" s="376"/>
      <c r="AJ602" s="376"/>
      <c r="AK602" s="376"/>
      <c r="AL602" s="376"/>
    </row>
    <row r="603" spans="1:38" x14ac:dyDescent="0.25">
      <c r="A603" s="376"/>
      <c r="B603" s="439"/>
      <c r="C603" s="439"/>
      <c r="D603" s="439"/>
      <c r="E603" s="376"/>
      <c r="F603" s="376"/>
      <c r="G603" s="376"/>
      <c r="AJ603" s="376"/>
      <c r="AK603" s="376"/>
      <c r="AL603" s="376"/>
    </row>
    <row r="604" spans="1:38" x14ac:dyDescent="0.25">
      <c r="A604" s="376"/>
      <c r="B604" s="439"/>
      <c r="C604" s="439"/>
      <c r="D604" s="439"/>
      <c r="E604" s="376"/>
      <c r="F604" s="376"/>
      <c r="G604" s="376"/>
      <c r="AJ604" s="376"/>
      <c r="AK604" s="376"/>
      <c r="AL604" s="376"/>
    </row>
    <row r="605" spans="1:38" x14ac:dyDescent="0.25">
      <c r="A605" s="376"/>
      <c r="B605" s="439"/>
      <c r="C605" s="439"/>
      <c r="D605" s="439"/>
      <c r="E605" s="376"/>
      <c r="F605" s="376"/>
      <c r="G605" s="376"/>
      <c r="AJ605" s="376"/>
      <c r="AK605" s="376"/>
      <c r="AL605" s="376"/>
    </row>
    <row r="606" spans="1:38" x14ac:dyDescent="0.25">
      <c r="A606" s="376"/>
      <c r="B606" s="439"/>
      <c r="C606" s="439"/>
      <c r="D606" s="439"/>
      <c r="E606" s="376"/>
      <c r="F606" s="376"/>
      <c r="G606" s="376"/>
      <c r="AJ606" s="376"/>
      <c r="AK606" s="376"/>
      <c r="AL606" s="376"/>
    </row>
    <row r="607" spans="1:38" x14ac:dyDescent="0.25">
      <c r="A607" s="376"/>
      <c r="B607" s="439"/>
      <c r="C607" s="439"/>
      <c r="D607" s="439"/>
      <c r="E607" s="376"/>
      <c r="F607" s="376"/>
      <c r="G607" s="376"/>
      <c r="AJ607" s="376"/>
      <c r="AK607" s="376"/>
      <c r="AL607" s="376"/>
    </row>
    <row r="608" spans="1:38" x14ac:dyDescent="0.25">
      <c r="A608" s="376"/>
      <c r="B608" s="439"/>
      <c r="C608" s="439"/>
      <c r="D608" s="439"/>
      <c r="E608" s="376"/>
      <c r="F608" s="376"/>
      <c r="G608" s="376"/>
      <c r="AJ608" s="376"/>
      <c r="AK608" s="376"/>
      <c r="AL608" s="376"/>
    </row>
    <row r="609" spans="1:38" x14ac:dyDescent="0.25">
      <c r="A609" s="376"/>
      <c r="B609" s="439"/>
      <c r="C609" s="439"/>
      <c r="D609" s="439"/>
      <c r="E609" s="376"/>
      <c r="F609" s="376"/>
      <c r="G609" s="376"/>
      <c r="AJ609" s="376"/>
      <c r="AK609" s="376"/>
      <c r="AL609" s="376"/>
    </row>
    <row r="610" spans="1:38" x14ac:dyDescent="0.25">
      <c r="A610" s="376"/>
      <c r="B610" s="439"/>
      <c r="C610" s="439"/>
      <c r="D610" s="439"/>
      <c r="E610" s="376"/>
      <c r="F610" s="376"/>
      <c r="G610" s="376"/>
      <c r="AJ610" s="376"/>
      <c r="AK610" s="376"/>
      <c r="AL610" s="376"/>
    </row>
    <row r="611" spans="1:38" x14ac:dyDescent="0.25">
      <c r="A611" s="376"/>
      <c r="B611" s="439"/>
      <c r="C611" s="439"/>
      <c r="D611" s="439"/>
      <c r="E611" s="376"/>
      <c r="F611" s="376"/>
      <c r="G611" s="376"/>
      <c r="AJ611" s="376"/>
      <c r="AK611" s="376"/>
      <c r="AL611" s="376"/>
    </row>
    <row r="612" spans="1:38" x14ac:dyDescent="0.25">
      <c r="A612" s="376"/>
      <c r="B612" s="439"/>
      <c r="C612" s="439"/>
      <c r="D612" s="439"/>
      <c r="E612" s="376"/>
      <c r="F612" s="376"/>
      <c r="G612" s="376"/>
      <c r="AJ612" s="376"/>
      <c r="AK612" s="376"/>
      <c r="AL612" s="376"/>
    </row>
    <row r="613" spans="1:38" x14ac:dyDescent="0.25">
      <c r="A613" s="376"/>
      <c r="B613" s="439"/>
      <c r="C613" s="439"/>
      <c r="D613" s="439"/>
      <c r="E613" s="376"/>
      <c r="F613" s="376"/>
      <c r="G613" s="376"/>
      <c r="AJ613" s="376"/>
      <c r="AK613" s="376"/>
      <c r="AL613" s="376"/>
    </row>
    <row r="614" spans="1:38" x14ac:dyDescent="0.25">
      <c r="A614" s="376"/>
      <c r="B614" s="439"/>
      <c r="C614" s="439"/>
      <c r="D614" s="439"/>
      <c r="E614" s="376"/>
      <c r="F614" s="376"/>
      <c r="G614" s="376"/>
      <c r="AJ614" s="376"/>
      <c r="AK614" s="376"/>
      <c r="AL614" s="376"/>
    </row>
    <row r="615" spans="1:38" x14ac:dyDescent="0.25">
      <c r="A615" s="376"/>
      <c r="B615" s="439"/>
      <c r="C615" s="439"/>
      <c r="D615" s="439"/>
      <c r="E615" s="376"/>
      <c r="F615" s="376"/>
      <c r="G615" s="376"/>
      <c r="AJ615" s="376"/>
      <c r="AK615" s="376"/>
      <c r="AL615" s="376"/>
    </row>
    <row r="616" spans="1:38" x14ac:dyDescent="0.25">
      <c r="A616" s="376"/>
      <c r="B616" s="439"/>
      <c r="C616" s="439"/>
      <c r="D616" s="439"/>
      <c r="E616" s="376"/>
      <c r="F616" s="376"/>
      <c r="G616" s="376"/>
      <c r="AJ616" s="376"/>
      <c r="AK616" s="376"/>
      <c r="AL616" s="376"/>
    </row>
    <row r="617" spans="1:38" x14ac:dyDescent="0.25">
      <c r="A617" s="376"/>
      <c r="B617" s="439"/>
      <c r="C617" s="439"/>
      <c r="D617" s="439"/>
      <c r="E617" s="376"/>
      <c r="F617" s="376"/>
      <c r="G617" s="376"/>
      <c r="AJ617" s="376"/>
      <c r="AK617" s="376"/>
      <c r="AL617" s="376"/>
    </row>
    <row r="618" spans="1:38" x14ac:dyDescent="0.25">
      <c r="A618" s="376"/>
      <c r="B618" s="439"/>
      <c r="C618" s="439"/>
      <c r="D618" s="439"/>
      <c r="E618" s="376"/>
      <c r="F618" s="376"/>
      <c r="G618" s="376"/>
      <c r="AJ618" s="376"/>
      <c r="AK618" s="376"/>
      <c r="AL618" s="376"/>
    </row>
    <row r="619" spans="1:38" x14ac:dyDescent="0.25">
      <c r="A619" s="376"/>
      <c r="B619" s="439"/>
      <c r="C619" s="439"/>
      <c r="D619" s="439"/>
      <c r="E619" s="376"/>
      <c r="F619" s="376"/>
      <c r="G619" s="376"/>
      <c r="AJ619" s="376"/>
      <c r="AK619" s="376"/>
      <c r="AL619" s="376"/>
    </row>
    <row r="620" spans="1:38" x14ac:dyDescent="0.25">
      <c r="A620" s="376"/>
      <c r="B620" s="439"/>
      <c r="C620" s="439"/>
      <c r="D620" s="439"/>
      <c r="E620" s="376"/>
      <c r="F620" s="376"/>
      <c r="G620" s="376"/>
      <c r="AJ620" s="376"/>
      <c r="AK620" s="376"/>
      <c r="AL620" s="376"/>
    </row>
    <row r="621" spans="1:38" x14ac:dyDescent="0.25">
      <c r="A621" s="376"/>
      <c r="B621" s="439"/>
      <c r="C621" s="439"/>
      <c r="D621" s="439"/>
      <c r="E621" s="376"/>
      <c r="F621" s="376"/>
      <c r="G621" s="376"/>
      <c r="AJ621" s="376"/>
      <c r="AK621" s="376"/>
      <c r="AL621" s="376"/>
    </row>
    <row r="622" spans="1:38" x14ac:dyDescent="0.25">
      <c r="A622" s="376"/>
      <c r="B622" s="439"/>
      <c r="C622" s="439"/>
      <c r="D622" s="439"/>
      <c r="E622" s="376"/>
      <c r="F622" s="376"/>
      <c r="G622" s="376"/>
      <c r="AJ622" s="376"/>
      <c r="AK622" s="376"/>
      <c r="AL622" s="376"/>
    </row>
    <row r="623" spans="1:38" x14ac:dyDescent="0.25">
      <c r="A623" s="376"/>
      <c r="B623" s="439"/>
      <c r="C623" s="439"/>
      <c r="D623" s="439"/>
      <c r="E623" s="376"/>
      <c r="F623" s="376"/>
      <c r="G623" s="376"/>
      <c r="AJ623" s="376"/>
      <c r="AK623" s="376"/>
      <c r="AL623" s="376"/>
    </row>
    <row r="624" spans="1:38" x14ac:dyDescent="0.25">
      <c r="A624" s="376"/>
      <c r="B624" s="439"/>
      <c r="C624" s="439"/>
      <c r="D624" s="439"/>
      <c r="E624" s="376"/>
      <c r="F624" s="376"/>
      <c r="G624" s="376"/>
      <c r="AJ624" s="376"/>
      <c r="AK624" s="376"/>
      <c r="AL624" s="376"/>
    </row>
    <row r="625" spans="1:38" x14ac:dyDescent="0.25">
      <c r="A625" s="376"/>
      <c r="B625" s="439"/>
      <c r="C625" s="439"/>
      <c r="D625" s="439"/>
      <c r="E625" s="376"/>
      <c r="F625" s="376"/>
      <c r="G625" s="376"/>
      <c r="AJ625" s="376"/>
      <c r="AK625" s="376"/>
      <c r="AL625" s="376"/>
    </row>
    <row r="626" spans="1:38" x14ac:dyDescent="0.25">
      <c r="A626" s="376"/>
      <c r="B626" s="439"/>
      <c r="C626" s="439"/>
      <c r="D626" s="439"/>
      <c r="E626" s="376"/>
      <c r="F626" s="376"/>
      <c r="G626" s="376"/>
      <c r="AJ626" s="376"/>
      <c r="AK626" s="376"/>
      <c r="AL626" s="376"/>
    </row>
    <row r="627" spans="1:38" x14ac:dyDescent="0.25">
      <c r="A627" s="376"/>
      <c r="B627" s="439"/>
      <c r="C627" s="439"/>
      <c r="D627" s="439"/>
      <c r="E627" s="376"/>
      <c r="F627" s="376"/>
      <c r="G627" s="376"/>
      <c r="AJ627" s="376"/>
      <c r="AK627" s="376"/>
      <c r="AL627" s="376"/>
    </row>
    <row r="628" spans="1:38" x14ac:dyDescent="0.25">
      <c r="A628" s="376"/>
      <c r="B628" s="439"/>
      <c r="C628" s="439"/>
      <c r="D628" s="439"/>
      <c r="E628" s="376"/>
      <c r="F628" s="376"/>
      <c r="G628" s="376"/>
      <c r="AJ628" s="376"/>
      <c r="AK628" s="376"/>
      <c r="AL628" s="376"/>
    </row>
    <row r="629" spans="1:38" x14ac:dyDescent="0.25">
      <c r="A629" s="376"/>
      <c r="B629" s="439"/>
      <c r="C629" s="439"/>
      <c r="D629" s="439"/>
      <c r="E629" s="376"/>
      <c r="F629" s="376"/>
      <c r="G629" s="376"/>
      <c r="AJ629" s="376"/>
      <c r="AK629" s="376"/>
      <c r="AL629" s="376"/>
    </row>
    <row r="630" spans="1:38" x14ac:dyDescent="0.25">
      <c r="A630" s="376"/>
      <c r="B630" s="439"/>
      <c r="C630" s="439"/>
      <c r="D630" s="439"/>
      <c r="E630" s="376"/>
      <c r="F630" s="376"/>
      <c r="G630" s="376"/>
      <c r="AJ630" s="376"/>
      <c r="AK630" s="376"/>
      <c r="AL630" s="376"/>
    </row>
    <row r="631" spans="1:38" x14ac:dyDescent="0.25">
      <c r="A631" s="376"/>
      <c r="B631" s="439"/>
      <c r="C631" s="439"/>
      <c r="D631" s="439"/>
      <c r="E631" s="376"/>
      <c r="F631" s="376"/>
      <c r="G631" s="376"/>
      <c r="AJ631" s="376"/>
      <c r="AK631" s="376"/>
      <c r="AL631" s="376"/>
    </row>
    <row r="632" spans="1:38" x14ac:dyDescent="0.25">
      <c r="A632" s="376"/>
      <c r="B632" s="439"/>
      <c r="C632" s="439"/>
      <c r="D632" s="439"/>
      <c r="E632" s="376"/>
      <c r="F632" s="376"/>
      <c r="G632" s="376"/>
      <c r="AJ632" s="376"/>
      <c r="AK632" s="376"/>
      <c r="AL632" s="376"/>
    </row>
    <row r="633" spans="1:38" x14ac:dyDescent="0.25">
      <c r="A633" s="376"/>
      <c r="B633" s="439"/>
      <c r="C633" s="439"/>
      <c r="D633" s="439"/>
      <c r="E633" s="376"/>
      <c r="F633" s="376"/>
      <c r="G633" s="376"/>
      <c r="AJ633" s="376"/>
      <c r="AK633" s="376"/>
      <c r="AL633" s="376"/>
    </row>
    <row r="634" spans="1:38" x14ac:dyDescent="0.25">
      <c r="A634" s="376"/>
      <c r="B634" s="439"/>
      <c r="C634" s="439"/>
      <c r="D634" s="439"/>
      <c r="E634" s="376"/>
      <c r="F634" s="376"/>
      <c r="G634" s="376"/>
      <c r="AJ634" s="376"/>
      <c r="AK634" s="376"/>
      <c r="AL634" s="376"/>
    </row>
    <row r="635" spans="1:38" x14ac:dyDescent="0.25">
      <c r="A635" s="376"/>
      <c r="B635" s="439"/>
      <c r="C635" s="439"/>
      <c r="D635" s="439"/>
      <c r="E635" s="376"/>
      <c r="F635" s="376"/>
      <c r="G635" s="376"/>
      <c r="AJ635" s="376"/>
      <c r="AK635" s="376"/>
      <c r="AL635" s="376"/>
    </row>
    <row r="636" spans="1:38" x14ac:dyDescent="0.25">
      <c r="A636" s="376"/>
      <c r="B636" s="439"/>
      <c r="C636" s="439"/>
      <c r="D636" s="439"/>
      <c r="E636" s="376"/>
      <c r="F636" s="376"/>
      <c r="G636" s="376"/>
      <c r="AJ636" s="376"/>
      <c r="AK636" s="376"/>
      <c r="AL636" s="376"/>
    </row>
    <row r="637" spans="1:38" x14ac:dyDescent="0.25">
      <c r="A637" s="376"/>
      <c r="B637" s="439"/>
      <c r="C637" s="439"/>
      <c r="D637" s="439"/>
      <c r="E637" s="376"/>
      <c r="F637" s="376"/>
      <c r="G637" s="376"/>
      <c r="AJ637" s="376"/>
      <c r="AK637" s="376"/>
      <c r="AL637" s="376"/>
    </row>
    <row r="638" spans="1:38" x14ac:dyDescent="0.25">
      <c r="A638" s="376"/>
      <c r="B638" s="439"/>
      <c r="C638" s="439"/>
      <c r="D638" s="439"/>
      <c r="E638" s="376"/>
      <c r="F638" s="376"/>
      <c r="G638" s="376"/>
      <c r="AJ638" s="376"/>
      <c r="AK638" s="376"/>
      <c r="AL638" s="376"/>
    </row>
    <row r="639" spans="1:38" x14ac:dyDescent="0.25">
      <c r="A639" s="376"/>
      <c r="B639" s="439"/>
      <c r="C639" s="439"/>
      <c r="D639" s="439"/>
      <c r="E639" s="376"/>
      <c r="F639" s="376"/>
      <c r="G639" s="376"/>
      <c r="AJ639" s="376"/>
      <c r="AK639" s="376"/>
      <c r="AL639" s="376"/>
    </row>
    <row r="640" spans="1:38" x14ac:dyDescent="0.25">
      <c r="A640" s="376"/>
      <c r="B640" s="439"/>
      <c r="C640" s="439"/>
      <c r="D640" s="439"/>
      <c r="E640" s="376"/>
      <c r="F640" s="376"/>
      <c r="G640" s="376"/>
      <c r="AJ640" s="376"/>
      <c r="AK640" s="376"/>
      <c r="AL640" s="376"/>
    </row>
    <row r="641" spans="1:38" x14ac:dyDescent="0.25">
      <c r="A641" s="376"/>
      <c r="B641" s="439"/>
      <c r="C641" s="439"/>
      <c r="D641" s="439"/>
      <c r="E641" s="376"/>
      <c r="F641" s="376"/>
      <c r="G641" s="376"/>
      <c r="AJ641" s="376"/>
      <c r="AK641" s="376"/>
      <c r="AL641" s="376"/>
    </row>
    <row r="642" spans="1:38" x14ac:dyDescent="0.25">
      <c r="A642" s="376"/>
      <c r="B642" s="439"/>
      <c r="C642" s="439"/>
      <c r="D642" s="439"/>
      <c r="E642" s="376"/>
      <c r="F642" s="376"/>
      <c r="G642" s="376"/>
      <c r="AJ642" s="376"/>
      <c r="AK642" s="376"/>
      <c r="AL642" s="376"/>
    </row>
    <row r="643" spans="1:38" x14ac:dyDescent="0.25">
      <c r="A643" s="376"/>
      <c r="B643" s="439"/>
      <c r="C643" s="439"/>
      <c r="D643" s="439"/>
      <c r="E643" s="376"/>
      <c r="F643" s="376"/>
      <c r="G643" s="376"/>
      <c r="AJ643" s="376"/>
      <c r="AK643" s="376"/>
      <c r="AL643" s="376"/>
    </row>
    <row r="644" spans="1:38" x14ac:dyDescent="0.25">
      <c r="A644" s="376"/>
      <c r="B644" s="439"/>
      <c r="C644" s="439"/>
      <c r="D644" s="439"/>
      <c r="E644" s="376"/>
      <c r="F644" s="376"/>
      <c r="G644" s="376"/>
      <c r="AJ644" s="376"/>
      <c r="AK644" s="376"/>
      <c r="AL644" s="376"/>
    </row>
    <row r="645" spans="1:38" x14ac:dyDescent="0.25">
      <c r="A645" s="376"/>
      <c r="B645" s="439"/>
      <c r="C645" s="439"/>
      <c r="D645" s="439"/>
      <c r="E645" s="376"/>
      <c r="F645" s="376"/>
      <c r="G645" s="376"/>
      <c r="AJ645" s="376"/>
      <c r="AK645" s="376"/>
      <c r="AL645" s="376"/>
    </row>
    <row r="646" spans="1:38" x14ac:dyDescent="0.25">
      <c r="A646" s="376"/>
      <c r="B646" s="439"/>
      <c r="C646" s="439"/>
      <c r="D646" s="439"/>
      <c r="E646" s="376"/>
      <c r="F646" s="376"/>
      <c r="G646" s="376"/>
      <c r="AJ646" s="376"/>
      <c r="AK646" s="376"/>
      <c r="AL646" s="376"/>
    </row>
    <row r="647" spans="1:38" x14ac:dyDescent="0.25">
      <c r="A647" s="376"/>
      <c r="B647" s="439"/>
      <c r="C647" s="439"/>
      <c r="D647" s="439"/>
      <c r="E647" s="376"/>
      <c r="F647" s="376"/>
      <c r="G647" s="376"/>
      <c r="AJ647" s="376"/>
      <c r="AK647" s="376"/>
      <c r="AL647" s="376"/>
    </row>
    <row r="648" spans="1:38" x14ac:dyDescent="0.25">
      <c r="A648" s="376"/>
      <c r="B648" s="439"/>
      <c r="C648" s="439"/>
      <c r="D648" s="439"/>
      <c r="E648" s="376"/>
      <c r="F648" s="376"/>
      <c r="G648" s="376"/>
      <c r="AJ648" s="376"/>
      <c r="AK648" s="376"/>
      <c r="AL648" s="376"/>
    </row>
    <row r="649" spans="1:38" x14ac:dyDescent="0.25">
      <c r="A649" s="376"/>
      <c r="B649" s="439"/>
      <c r="C649" s="439"/>
      <c r="D649" s="439"/>
      <c r="E649" s="376"/>
      <c r="F649" s="376"/>
      <c r="G649" s="376"/>
      <c r="AJ649" s="376"/>
      <c r="AK649" s="376"/>
      <c r="AL649" s="376"/>
    </row>
    <row r="650" spans="1:38" x14ac:dyDescent="0.25">
      <c r="A650" s="376"/>
      <c r="B650" s="439"/>
      <c r="C650" s="439"/>
      <c r="D650" s="439"/>
      <c r="E650" s="376"/>
      <c r="F650" s="376"/>
      <c r="G650" s="376"/>
      <c r="AJ650" s="376"/>
      <c r="AK650" s="376"/>
      <c r="AL650" s="376"/>
    </row>
    <row r="651" spans="1:38" x14ac:dyDescent="0.25">
      <c r="A651" s="376"/>
      <c r="B651" s="439"/>
      <c r="C651" s="439"/>
      <c r="D651" s="439"/>
      <c r="E651" s="376"/>
      <c r="F651" s="376"/>
      <c r="G651" s="376"/>
      <c r="AJ651" s="376"/>
      <c r="AK651" s="376"/>
      <c r="AL651" s="376"/>
    </row>
    <row r="652" spans="1:38" x14ac:dyDescent="0.25">
      <c r="A652" s="376"/>
      <c r="B652" s="439"/>
      <c r="C652" s="439"/>
      <c r="D652" s="439"/>
      <c r="E652" s="376"/>
      <c r="F652" s="376"/>
      <c r="G652" s="376"/>
      <c r="AJ652" s="376"/>
      <c r="AK652" s="376"/>
      <c r="AL652" s="376"/>
    </row>
    <row r="653" spans="1:38" x14ac:dyDescent="0.25">
      <c r="A653" s="376"/>
      <c r="B653" s="439"/>
      <c r="C653" s="439"/>
      <c r="D653" s="439"/>
      <c r="E653" s="376"/>
      <c r="F653" s="376"/>
      <c r="G653" s="376"/>
      <c r="AJ653" s="376"/>
      <c r="AK653" s="376"/>
      <c r="AL653" s="376"/>
    </row>
    <row r="654" spans="1:38" x14ac:dyDescent="0.25">
      <c r="A654" s="376"/>
      <c r="B654" s="439"/>
      <c r="C654" s="439"/>
      <c r="D654" s="439"/>
      <c r="E654" s="376"/>
      <c r="F654" s="376"/>
      <c r="G654" s="376"/>
      <c r="AJ654" s="376"/>
      <c r="AK654" s="376"/>
      <c r="AL654" s="376"/>
    </row>
    <row r="655" spans="1:38" x14ac:dyDescent="0.25">
      <c r="A655" s="376"/>
      <c r="B655" s="439"/>
      <c r="C655" s="439"/>
      <c r="D655" s="439"/>
      <c r="E655" s="376"/>
      <c r="F655" s="376"/>
      <c r="G655" s="376"/>
      <c r="AJ655" s="376"/>
      <c r="AK655" s="376"/>
      <c r="AL655" s="376"/>
    </row>
    <row r="656" spans="1:38" x14ac:dyDescent="0.25">
      <c r="A656" s="376"/>
      <c r="B656" s="439"/>
      <c r="C656" s="439"/>
      <c r="D656" s="439"/>
      <c r="E656" s="376"/>
      <c r="F656" s="376"/>
      <c r="G656" s="376"/>
      <c r="AJ656" s="376"/>
      <c r="AK656" s="376"/>
      <c r="AL656" s="376"/>
    </row>
    <row r="657" spans="1:38" x14ac:dyDescent="0.25">
      <c r="A657" s="376"/>
      <c r="B657" s="439"/>
      <c r="C657" s="439"/>
      <c r="D657" s="439"/>
      <c r="E657" s="376"/>
      <c r="F657" s="376"/>
      <c r="G657" s="376"/>
      <c r="AJ657" s="376"/>
      <c r="AK657" s="376"/>
      <c r="AL657" s="376"/>
    </row>
    <row r="658" spans="1:38" x14ac:dyDescent="0.25">
      <c r="A658" s="376"/>
      <c r="B658" s="439"/>
      <c r="C658" s="439"/>
      <c r="D658" s="439"/>
      <c r="E658" s="376"/>
      <c r="F658" s="376"/>
      <c r="G658" s="376"/>
      <c r="AJ658" s="376"/>
      <c r="AK658" s="376"/>
      <c r="AL658" s="376"/>
    </row>
    <row r="659" spans="1:38" x14ac:dyDescent="0.25">
      <c r="A659" s="376"/>
      <c r="B659" s="439"/>
      <c r="C659" s="439"/>
      <c r="D659" s="439"/>
      <c r="E659" s="376"/>
      <c r="F659" s="376"/>
      <c r="G659" s="376"/>
      <c r="AJ659" s="376"/>
      <c r="AK659" s="376"/>
      <c r="AL659" s="376"/>
    </row>
    <row r="660" spans="1:38" x14ac:dyDescent="0.25">
      <c r="A660" s="376"/>
      <c r="B660" s="439"/>
      <c r="C660" s="439"/>
      <c r="D660" s="439"/>
      <c r="E660" s="376"/>
      <c r="F660" s="376"/>
      <c r="G660" s="376"/>
      <c r="AJ660" s="376"/>
      <c r="AK660" s="376"/>
      <c r="AL660" s="376"/>
    </row>
    <row r="661" spans="1:38" x14ac:dyDescent="0.25">
      <c r="A661" s="376"/>
      <c r="B661" s="439"/>
      <c r="C661" s="439"/>
      <c r="D661" s="439"/>
      <c r="E661" s="376"/>
      <c r="F661" s="376"/>
      <c r="G661" s="376"/>
      <c r="AJ661" s="376"/>
      <c r="AK661" s="376"/>
      <c r="AL661" s="376"/>
    </row>
    <row r="662" spans="1:38" x14ac:dyDescent="0.25">
      <c r="A662" s="376"/>
      <c r="B662" s="439"/>
      <c r="C662" s="439"/>
      <c r="D662" s="439"/>
      <c r="E662" s="376"/>
      <c r="F662" s="376"/>
      <c r="G662" s="376"/>
      <c r="AJ662" s="376"/>
      <c r="AK662" s="376"/>
      <c r="AL662" s="376"/>
    </row>
    <row r="663" spans="1:38" x14ac:dyDescent="0.25">
      <c r="A663" s="376"/>
      <c r="B663" s="439"/>
      <c r="C663" s="439"/>
      <c r="D663" s="439"/>
      <c r="E663" s="376"/>
      <c r="F663" s="376"/>
      <c r="G663" s="376"/>
      <c r="AJ663" s="376"/>
      <c r="AK663" s="376"/>
      <c r="AL663" s="376"/>
    </row>
    <row r="664" spans="1:38" x14ac:dyDescent="0.25">
      <c r="A664" s="376"/>
      <c r="B664" s="439"/>
      <c r="C664" s="439"/>
      <c r="D664" s="439"/>
      <c r="E664" s="376"/>
      <c r="F664" s="376"/>
      <c r="G664" s="376"/>
      <c r="AJ664" s="376"/>
      <c r="AK664" s="376"/>
      <c r="AL664" s="376"/>
    </row>
    <row r="665" spans="1:38" x14ac:dyDescent="0.25">
      <c r="A665" s="376"/>
      <c r="B665" s="439"/>
      <c r="C665" s="439"/>
      <c r="D665" s="439"/>
      <c r="E665" s="376"/>
      <c r="F665" s="376"/>
      <c r="G665" s="376"/>
      <c r="AJ665" s="376"/>
      <c r="AK665" s="376"/>
      <c r="AL665" s="376"/>
    </row>
    <row r="666" spans="1:38" x14ac:dyDescent="0.25">
      <c r="A666" s="376"/>
      <c r="B666" s="439"/>
      <c r="C666" s="439"/>
      <c r="D666" s="439"/>
      <c r="E666" s="376"/>
      <c r="F666" s="376"/>
      <c r="G666" s="376"/>
      <c r="AJ666" s="376"/>
      <c r="AK666" s="376"/>
      <c r="AL666" s="376"/>
    </row>
    <row r="667" spans="1:38" x14ac:dyDescent="0.25">
      <c r="A667" s="376"/>
      <c r="B667" s="439"/>
      <c r="C667" s="439"/>
      <c r="D667" s="439"/>
      <c r="E667" s="376"/>
      <c r="F667" s="376"/>
      <c r="G667" s="376"/>
      <c r="AJ667" s="376"/>
      <c r="AK667" s="376"/>
      <c r="AL667" s="376"/>
    </row>
    <row r="668" spans="1:38" x14ac:dyDescent="0.25">
      <c r="A668" s="376"/>
      <c r="B668" s="439"/>
      <c r="C668" s="439"/>
      <c r="D668" s="439"/>
      <c r="E668" s="376"/>
      <c r="F668" s="376"/>
      <c r="G668" s="376"/>
      <c r="AJ668" s="376"/>
      <c r="AK668" s="376"/>
      <c r="AL668" s="376"/>
    </row>
    <row r="669" spans="1:38" x14ac:dyDescent="0.25">
      <c r="A669" s="376"/>
      <c r="B669" s="439"/>
      <c r="C669" s="439"/>
      <c r="D669" s="439"/>
      <c r="E669" s="376"/>
      <c r="F669" s="376"/>
      <c r="G669" s="376"/>
      <c r="AJ669" s="376"/>
      <c r="AK669" s="376"/>
      <c r="AL669" s="376"/>
    </row>
    <row r="670" spans="1:38" x14ac:dyDescent="0.25">
      <c r="A670" s="376"/>
      <c r="B670" s="439"/>
      <c r="C670" s="439"/>
      <c r="D670" s="439"/>
      <c r="E670" s="376"/>
      <c r="F670" s="376"/>
      <c r="G670" s="376"/>
      <c r="AJ670" s="376"/>
      <c r="AK670" s="376"/>
      <c r="AL670" s="376"/>
    </row>
    <row r="671" spans="1:38" x14ac:dyDescent="0.25">
      <c r="A671" s="376"/>
      <c r="B671" s="439"/>
      <c r="C671" s="439"/>
      <c r="D671" s="439"/>
      <c r="E671" s="376"/>
      <c r="F671" s="376"/>
      <c r="G671" s="376"/>
      <c r="AJ671" s="376"/>
      <c r="AK671" s="376"/>
      <c r="AL671" s="376"/>
    </row>
    <row r="672" spans="1:38" x14ac:dyDescent="0.25">
      <c r="A672" s="376"/>
      <c r="B672" s="439"/>
      <c r="C672" s="439"/>
      <c r="D672" s="439"/>
      <c r="E672" s="376"/>
      <c r="F672" s="376"/>
      <c r="G672" s="376"/>
      <c r="AJ672" s="376"/>
      <c r="AK672" s="376"/>
      <c r="AL672" s="376"/>
    </row>
    <row r="673" spans="1:38" x14ac:dyDescent="0.25">
      <c r="A673" s="376"/>
      <c r="B673" s="439"/>
      <c r="C673" s="439"/>
      <c r="D673" s="439"/>
      <c r="E673" s="376"/>
      <c r="F673" s="376"/>
      <c r="G673" s="376"/>
      <c r="AJ673" s="376"/>
      <c r="AK673" s="376"/>
      <c r="AL673" s="376"/>
    </row>
    <row r="674" spans="1:38" x14ac:dyDescent="0.25">
      <c r="A674" s="376"/>
      <c r="B674" s="439"/>
      <c r="C674" s="439"/>
      <c r="D674" s="439"/>
      <c r="E674" s="376"/>
      <c r="F674" s="376"/>
      <c r="G674" s="376"/>
      <c r="AJ674" s="376"/>
      <c r="AK674" s="376"/>
      <c r="AL674" s="376"/>
    </row>
    <row r="675" spans="1:38" x14ac:dyDescent="0.25">
      <c r="A675" s="376"/>
      <c r="B675" s="439"/>
      <c r="C675" s="439"/>
      <c r="D675" s="439"/>
      <c r="E675" s="376"/>
      <c r="F675" s="376"/>
      <c r="G675" s="376"/>
      <c r="AJ675" s="376"/>
      <c r="AK675" s="376"/>
      <c r="AL675" s="376"/>
    </row>
    <row r="676" spans="1:38" x14ac:dyDescent="0.25">
      <c r="A676" s="376"/>
      <c r="B676" s="439"/>
      <c r="C676" s="439"/>
      <c r="D676" s="439"/>
      <c r="E676" s="376"/>
      <c r="F676" s="376"/>
      <c r="G676" s="376"/>
      <c r="AJ676" s="376"/>
      <c r="AK676" s="376"/>
      <c r="AL676" s="376"/>
    </row>
    <row r="677" spans="1:38" x14ac:dyDescent="0.25">
      <c r="A677" s="376"/>
      <c r="B677" s="439"/>
      <c r="C677" s="439"/>
      <c r="D677" s="439"/>
      <c r="E677" s="376"/>
      <c r="F677" s="376"/>
      <c r="G677" s="376"/>
      <c r="AJ677" s="376"/>
      <c r="AK677" s="376"/>
      <c r="AL677" s="376"/>
    </row>
    <row r="678" spans="1:38" x14ac:dyDescent="0.25">
      <c r="A678" s="376"/>
      <c r="B678" s="439"/>
      <c r="C678" s="439"/>
      <c r="D678" s="439"/>
      <c r="E678" s="376"/>
      <c r="F678" s="376"/>
      <c r="G678" s="376"/>
      <c r="AJ678" s="376"/>
      <c r="AK678" s="376"/>
      <c r="AL678" s="376"/>
    </row>
  </sheetData>
  <hyperlinks>
    <hyperlink ref="AC15" r:id="rId1"/>
    <hyperlink ref="AC471" r:id="rId2"/>
    <hyperlink ref="AC159" r:id="rId3"/>
    <hyperlink ref="AC267" r:id="rId4"/>
    <hyperlink ref="AC111" r:id="rId5"/>
    <hyperlink ref="AC87" r:id="rId6"/>
    <hyperlink ref="AC99" r:id="rId7"/>
    <hyperlink ref="AC135" r:id="rId8"/>
    <hyperlink ref="AC279" r:id="rId9"/>
    <hyperlink ref="AC147" r:id="rId10"/>
    <hyperlink ref="AC123" r:id="rId11"/>
    <hyperlink ref="AC411" r:id="rId12"/>
    <hyperlink ref="AC303" r:id="rId13" location="MOESM247" display="https://www.nature.com/articles/ngeo2635 - MOESM247"/>
    <hyperlink ref="AC291" r:id="rId14"/>
    <hyperlink ref="AC255" r:id="rId15"/>
    <hyperlink ref="AC315" r:id="rId16" location="data/RFN" display="http://www.fao.org/faostat/en/ - data/RFN"/>
    <hyperlink ref="AC39" r:id="rId17" location="data/FBS" display="http://www.fao.org/faostat/en/ - data/FBS"/>
    <hyperlink ref="AC27" r:id="rId18" location="data/FBS"/>
    <hyperlink ref="AC3" r:id="rId19" location="data/FS" display="http://www.fao.org/faostat/en/ - data/FS"/>
    <hyperlink ref="AC51" r:id="rId20" location="data/EL" display="http://www.fao.org/faostat/en/ - data/EL"/>
    <hyperlink ref="AC447" r:id="rId21"/>
    <hyperlink ref="AC435" r:id="rId22"/>
    <hyperlink ref="AC495" r:id="rId23"/>
    <hyperlink ref="AD159" r:id="rId24"/>
    <hyperlink ref="AD351" r:id="rId25"/>
    <hyperlink ref="AE351" r:id="rId26"/>
    <hyperlink ref="AD171" r:id="rId27"/>
    <hyperlink ref="AC327" r:id="rId28" location="data/RFN" display="http://www.fao.org/faostat/en/ - data/RFN"/>
    <hyperlink ref="AC339" r:id="rId29"/>
    <hyperlink ref="AE387" r:id="rId30"/>
    <hyperlink ref="AD327" r:id="rId31"/>
    <hyperlink ref="AD315" r:id="rId32"/>
    <hyperlink ref="AD471" r:id="rId33" location="data/RL" display="http://www.fao.org/faostat/en/ - data/RL"/>
    <hyperlink ref="AC63" r:id="rId34"/>
    <hyperlink ref="AC75" r:id="rId35"/>
    <hyperlink ref="AC183" r:id="rId36"/>
    <hyperlink ref="AC195" r:id="rId37"/>
    <hyperlink ref="AC207" r:id="rId38"/>
    <hyperlink ref="AC219" r:id="rId39"/>
    <hyperlink ref="AC231" r:id="rId40"/>
    <hyperlink ref="AC243" r:id="rId41"/>
    <hyperlink ref="AC483" r:id="rId42"/>
    <hyperlink ref="AD435" r:id="rId43"/>
    <hyperlink ref="AD447" r:id="rId44"/>
    <hyperlink ref="AC459" r:id="rId45"/>
    <hyperlink ref="AD279" r:id="rId46"/>
    <hyperlink ref="AC363" r:id="rId47" location="data/GT" display="data/GT"/>
    <hyperlink ref="AC399" r:id="rId48" location="data/GT" display="data/GT"/>
    <hyperlink ref="AC375" r:id="rId49" location="data/GT" display="data/GT"/>
    <hyperlink ref="AC387" r:id="rId50" location="data/GT" display="data/GT"/>
    <hyperlink ref="AC423" r:id="rId51"/>
    <hyperlink ref="AD195" r:id="rId52"/>
    <hyperlink ref="AD183" r:id="rId53"/>
  </hyperlinks>
  <pageMargins left="0.7" right="0.7" top="0.75" bottom="0.75" header="0.3" footer="0.3"/>
  <pageSetup paperSize="9" orientation="portrait" horizontalDpi="1200" verticalDpi="1200" r:id="rId54"/>
  <tableParts count="1">
    <tablePart r:id="rId55"/>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4"/>
  <sheetViews>
    <sheetView topLeftCell="E1" zoomScale="80" zoomScaleNormal="80" workbookViewId="0">
      <selection activeCell="P1" sqref="P1:P1048576"/>
    </sheetView>
  </sheetViews>
  <sheetFormatPr defaultColWidth="9" defaultRowHeight="15" x14ac:dyDescent="0.25"/>
  <cols>
    <col min="1" max="1" width="10.7109375" style="378" customWidth="1"/>
    <col min="2" max="2" width="50" style="440" customWidth="1"/>
    <col min="3" max="3" width="27" style="440" customWidth="1"/>
    <col min="4" max="4" width="33.42578125" style="440" customWidth="1"/>
    <col min="5" max="5" width="14" style="378" customWidth="1"/>
    <col min="6" max="6" width="10.7109375" style="378" customWidth="1"/>
    <col min="7" max="7" width="12.42578125" style="378" customWidth="1"/>
    <col min="8" max="8" width="18.140625" style="376" customWidth="1"/>
    <col min="9" max="9" width="14.7109375" style="376" customWidth="1"/>
    <col min="10" max="10" width="13.28515625" style="376" customWidth="1"/>
    <col min="11" max="12" width="11.42578125" style="376" customWidth="1"/>
    <col min="13" max="13" width="12.7109375" style="376" customWidth="1"/>
    <col min="14" max="14" width="8" style="376" customWidth="1"/>
    <col min="15" max="15" width="34.85546875" style="376" customWidth="1"/>
    <col min="16" max="16" width="17.85546875" style="376" customWidth="1"/>
    <col min="17" max="17" width="14" style="376" customWidth="1"/>
    <col min="18" max="18" width="31.7109375" style="376" customWidth="1"/>
    <col min="19" max="19" width="56.140625" style="376" customWidth="1"/>
    <col min="20" max="20" width="19.5703125" style="360" customWidth="1"/>
    <col min="21" max="21" width="40.140625" style="360" customWidth="1"/>
    <col min="22" max="16384" width="9" style="360"/>
  </cols>
  <sheetData>
    <row r="1" spans="1:22" ht="45" x14ac:dyDescent="0.25">
      <c r="A1" s="423" t="s">
        <v>526</v>
      </c>
      <c r="B1" s="423" t="s">
        <v>468</v>
      </c>
      <c r="C1" s="423" t="s">
        <v>408</v>
      </c>
      <c r="D1" s="423" t="s">
        <v>1143</v>
      </c>
      <c r="E1" s="423" t="s">
        <v>906</v>
      </c>
      <c r="F1" s="423" t="s">
        <v>910</v>
      </c>
      <c r="G1" s="423" t="s">
        <v>911</v>
      </c>
      <c r="H1" s="423" t="s">
        <v>1047</v>
      </c>
      <c r="I1" s="423" t="s">
        <v>1059</v>
      </c>
      <c r="J1" s="423" t="s">
        <v>1048</v>
      </c>
      <c r="K1" s="423" t="s">
        <v>1049</v>
      </c>
      <c r="L1" s="423" t="s">
        <v>1056</v>
      </c>
      <c r="M1" s="423" t="s">
        <v>1043</v>
      </c>
      <c r="N1" s="423" t="s">
        <v>1052</v>
      </c>
      <c r="O1" s="423" t="s">
        <v>908</v>
      </c>
      <c r="P1" s="423" t="s">
        <v>1044</v>
      </c>
      <c r="Q1" s="423" t="s">
        <v>1046</v>
      </c>
      <c r="R1" s="423" t="s">
        <v>1057</v>
      </c>
      <c r="S1" s="423" t="s">
        <v>907</v>
      </c>
      <c r="T1" s="423" t="s">
        <v>664</v>
      </c>
      <c r="U1" s="374" t="s">
        <v>907</v>
      </c>
    </row>
    <row r="2" spans="1:22" s="386" customFormat="1" x14ac:dyDescent="0.25">
      <c r="A2" s="409"/>
      <c r="B2" s="406"/>
      <c r="C2" s="406"/>
      <c r="D2" s="406"/>
      <c r="E2" s="407">
        <v>2015</v>
      </c>
      <c r="F2" s="407">
        <v>2016</v>
      </c>
      <c r="G2" s="407">
        <v>2017</v>
      </c>
      <c r="H2" s="407"/>
      <c r="I2" s="407"/>
      <c r="J2" s="407"/>
      <c r="K2" s="407"/>
      <c r="L2" s="407">
        <f>Table146[[#This Row],[Green target threshold]]+Table146[[#This Row],[Green target threshold]]*0.5</f>
        <v>0</v>
      </c>
      <c r="M2" s="407"/>
      <c r="N2" s="407"/>
      <c r="O2" s="407"/>
      <c r="P2" s="407"/>
      <c r="Q2" s="407"/>
      <c r="R2" s="407">
        <f>Table146[[#This Row],[Red target threshold]]-Table146[[#This Row],[Red target threshold]]*0.5</f>
        <v>0</v>
      </c>
      <c r="S2" s="407"/>
      <c r="T2" s="413"/>
    </row>
    <row r="3" spans="1:22" x14ac:dyDescent="0.25">
      <c r="A3" s="422" t="s">
        <v>856</v>
      </c>
      <c r="B3" s="436" t="s">
        <v>999</v>
      </c>
      <c r="C3" s="436" t="s">
        <v>473</v>
      </c>
      <c r="D3" s="436" t="s">
        <v>904</v>
      </c>
      <c r="E3" s="420">
        <v>121</v>
      </c>
      <c r="F3" s="420">
        <v>122</v>
      </c>
      <c r="G3" s="420">
        <v>122</v>
      </c>
      <c r="H3" s="421">
        <v>2015</v>
      </c>
      <c r="I3" s="421">
        <v>121</v>
      </c>
      <c r="J3" s="411">
        <f>2015</f>
        <v>2015</v>
      </c>
      <c r="K3" s="364">
        <v>137.345</v>
      </c>
      <c r="L3" s="411">
        <f>Table146[[#This Row],[Green target threshold]]+Table146[[#This Row],[Green target threshold]]*0.5</f>
        <v>230.39999999999998</v>
      </c>
      <c r="M3" s="421">
        <f>AVERAGE(G4:G8)</f>
        <v>153.6</v>
      </c>
      <c r="N3" s="421"/>
      <c r="O3" s="421" t="s">
        <v>978</v>
      </c>
      <c r="P3" s="421">
        <f>(M3-K3)*0.5+K3</f>
        <v>145.4725</v>
      </c>
      <c r="Q3" s="421">
        <f>K3</f>
        <v>137.345</v>
      </c>
      <c r="R3" s="421">
        <f>Table146[[#This Row],[Red target threshold]]-Table146[[#This Row],[Red target threshold]]*0.5</f>
        <v>68.672499999999999</v>
      </c>
      <c r="S3" s="421"/>
      <c r="T3" s="419" t="s">
        <v>864</v>
      </c>
      <c r="U3" s="362"/>
      <c r="V3" s="362"/>
    </row>
    <row r="4" spans="1:22" x14ac:dyDescent="0.25">
      <c r="A4" s="389"/>
      <c r="B4" s="372"/>
      <c r="C4" s="372"/>
      <c r="D4" s="378" t="s">
        <v>808</v>
      </c>
      <c r="E4" s="379">
        <v>159</v>
      </c>
      <c r="F4" s="380">
        <v>160</v>
      </c>
      <c r="G4" s="381">
        <v>160</v>
      </c>
      <c r="H4" s="421"/>
      <c r="I4" s="375"/>
      <c r="J4" s="375"/>
      <c r="K4" s="375"/>
      <c r="L4" s="375">
        <f>Table146[[#This Row],[Green target threshold]]+Table146[[#This Row],[Green target threshold]]*0.5</f>
        <v>0</v>
      </c>
      <c r="M4" s="375"/>
      <c r="N4" s="375"/>
      <c r="O4" s="375"/>
      <c r="P4" s="375"/>
      <c r="Q4" s="375"/>
      <c r="R4" s="375">
        <f>Table146[[#This Row],[Red target threshold]]-Table146[[#This Row],[Red target threshold]]*0.5</f>
        <v>0</v>
      </c>
      <c r="S4" s="375"/>
      <c r="T4" s="399"/>
      <c r="U4" s="362"/>
      <c r="V4" s="362"/>
    </row>
    <row r="5" spans="1:22" x14ac:dyDescent="0.25">
      <c r="A5" s="389"/>
      <c r="B5" s="372"/>
      <c r="C5" s="372"/>
      <c r="D5" s="378" t="s">
        <v>832</v>
      </c>
      <c r="E5" s="379">
        <v>158</v>
      </c>
      <c r="F5" s="380">
        <v>158</v>
      </c>
      <c r="G5" s="381">
        <v>157</v>
      </c>
      <c r="H5" s="421"/>
      <c r="I5" s="375"/>
      <c r="J5" s="375"/>
      <c r="K5" s="375"/>
      <c r="L5" s="375">
        <f>Table146[[#This Row],[Green target threshold]]+Table146[[#This Row],[Green target threshold]]*0.5</f>
        <v>0</v>
      </c>
      <c r="M5" s="375"/>
      <c r="N5" s="375"/>
      <c r="O5" s="375"/>
      <c r="P5" s="375"/>
      <c r="Q5" s="375"/>
      <c r="R5" s="375">
        <f>Table146[[#This Row],[Red target threshold]]-Table146[[#This Row],[Red target threshold]]*0.5</f>
        <v>0</v>
      </c>
      <c r="S5" s="375"/>
      <c r="T5" s="399"/>
      <c r="U5" s="362"/>
      <c r="V5" s="362"/>
    </row>
    <row r="6" spans="1:22" x14ac:dyDescent="0.25">
      <c r="A6" s="389"/>
      <c r="B6" s="372"/>
      <c r="C6" s="372"/>
      <c r="D6" s="378" t="s">
        <v>857</v>
      </c>
      <c r="E6" s="379">
        <v>152</v>
      </c>
      <c r="F6" s="380">
        <v>153</v>
      </c>
      <c r="G6" s="381">
        <v>153</v>
      </c>
      <c r="H6" s="421"/>
      <c r="I6" s="375"/>
      <c r="J6" s="375"/>
      <c r="K6" s="375"/>
      <c r="L6" s="375">
        <f>Table146[[#This Row],[Green target threshold]]+Table146[[#This Row],[Green target threshold]]*0.5</f>
        <v>0</v>
      </c>
      <c r="M6" s="375"/>
      <c r="N6" s="375"/>
      <c r="O6" s="375"/>
      <c r="P6" s="375"/>
      <c r="Q6" s="375"/>
      <c r="R6" s="375">
        <f>Table146[[#This Row],[Red target threshold]]-Table146[[#This Row],[Red target threshold]]*0.5</f>
        <v>0</v>
      </c>
      <c r="S6" s="375"/>
      <c r="T6" s="399"/>
      <c r="U6" s="362"/>
      <c r="V6" s="362"/>
    </row>
    <row r="7" spans="1:22" x14ac:dyDescent="0.25">
      <c r="A7" s="389"/>
      <c r="B7" s="372"/>
      <c r="C7" s="372"/>
      <c r="D7" s="378" t="s">
        <v>858</v>
      </c>
      <c r="E7" s="379">
        <v>148</v>
      </c>
      <c r="F7" s="380">
        <v>149</v>
      </c>
      <c r="G7" s="381">
        <v>150</v>
      </c>
      <c r="H7" s="421"/>
      <c r="I7" s="375"/>
      <c r="J7" s="375"/>
      <c r="K7" s="375"/>
      <c r="L7" s="375">
        <f>Table146[[#This Row],[Green target threshold]]+Table146[[#This Row],[Green target threshold]]*0.5</f>
        <v>0</v>
      </c>
      <c r="M7" s="375"/>
      <c r="N7" s="375"/>
      <c r="O7" s="375"/>
      <c r="P7" s="375"/>
      <c r="Q7" s="375"/>
      <c r="R7" s="375">
        <f>Table146[[#This Row],[Red target threshold]]-Table146[[#This Row],[Red target threshold]]*0.5</f>
        <v>0</v>
      </c>
      <c r="S7" s="375"/>
      <c r="T7" s="399"/>
      <c r="U7" s="362"/>
      <c r="V7" s="362"/>
    </row>
    <row r="8" spans="1:22" x14ac:dyDescent="0.25">
      <c r="A8" s="389"/>
      <c r="B8" s="372"/>
      <c r="C8" s="372"/>
      <c r="D8" s="378" t="s">
        <v>859</v>
      </c>
      <c r="E8" s="379">
        <v>148</v>
      </c>
      <c r="F8" s="380">
        <v>148</v>
      </c>
      <c r="G8" s="381">
        <v>148</v>
      </c>
      <c r="H8" s="421"/>
      <c r="I8" s="375"/>
      <c r="J8" s="375"/>
      <c r="K8" s="375"/>
      <c r="L8" s="375">
        <f>Table146[[#This Row],[Green target threshold]]+Table146[[#This Row],[Green target threshold]]*0.5</f>
        <v>0</v>
      </c>
      <c r="M8" s="375"/>
      <c r="N8" s="375"/>
      <c r="O8" s="375"/>
      <c r="P8" s="375"/>
      <c r="Q8" s="375"/>
      <c r="R8" s="375">
        <f>Table146[[#This Row],[Red target threshold]]-Table146[[#This Row],[Red target threshold]]*0.5</f>
        <v>0</v>
      </c>
      <c r="S8" s="375"/>
      <c r="T8" s="399"/>
      <c r="U8" s="362"/>
      <c r="V8" s="362"/>
    </row>
    <row r="9" spans="1:22" x14ac:dyDescent="0.25">
      <c r="A9" s="389"/>
      <c r="B9" s="372"/>
      <c r="C9" s="372"/>
      <c r="D9" s="378" t="s">
        <v>860</v>
      </c>
      <c r="E9" s="382">
        <v>81</v>
      </c>
      <c r="F9" s="383">
        <v>80</v>
      </c>
      <c r="G9" s="384">
        <v>81</v>
      </c>
      <c r="H9" s="421"/>
      <c r="I9" s="375"/>
      <c r="J9" s="375"/>
      <c r="K9" s="375"/>
      <c r="L9" s="375">
        <f>Table146[[#This Row],[Green target threshold]]+Table146[[#This Row],[Green target threshold]]*0.5</f>
        <v>0</v>
      </c>
      <c r="M9" s="375"/>
      <c r="N9" s="375"/>
      <c r="O9" s="375"/>
      <c r="P9" s="375"/>
      <c r="Q9" s="375"/>
      <c r="R9" s="375">
        <f>Table146[[#This Row],[Red target threshold]]-Table146[[#This Row],[Red target threshold]]*0.5</f>
        <v>0</v>
      </c>
      <c r="S9" s="375"/>
      <c r="T9" s="399"/>
      <c r="U9" s="362"/>
      <c r="V9" s="362"/>
    </row>
    <row r="10" spans="1:22" x14ac:dyDescent="0.25">
      <c r="A10" s="389"/>
      <c r="B10" s="372"/>
      <c r="C10" s="372"/>
      <c r="D10" s="378" t="s">
        <v>861</v>
      </c>
      <c r="E10" s="382">
        <v>86</v>
      </c>
      <c r="F10" s="383">
        <v>85</v>
      </c>
      <c r="G10" s="384">
        <v>84</v>
      </c>
      <c r="H10" s="421"/>
      <c r="I10" s="375"/>
      <c r="J10" s="375"/>
      <c r="K10" s="375"/>
      <c r="L10" s="375">
        <f>Table146[[#This Row],[Green target threshold]]+Table146[[#This Row],[Green target threshold]]*0.5</f>
        <v>0</v>
      </c>
      <c r="M10" s="375"/>
      <c r="N10" s="375"/>
      <c r="O10" s="375"/>
      <c r="P10" s="375"/>
      <c r="Q10" s="375"/>
      <c r="R10" s="375">
        <f>Table146[[#This Row],[Red target threshold]]-Table146[[#This Row],[Red target threshold]]*0.5</f>
        <v>0</v>
      </c>
      <c r="S10" s="375"/>
      <c r="T10" s="399"/>
      <c r="U10" s="362"/>
      <c r="V10" s="362"/>
    </row>
    <row r="11" spans="1:22" x14ac:dyDescent="0.25">
      <c r="A11" s="389"/>
      <c r="B11" s="372"/>
      <c r="C11" s="372"/>
      <c r="D11" s="378" t="s">
        <v>685</v>
      </c>
      <c r="E11" s="382">
        <v>86</v>
      </c>
      <c r="F11" s="383">
        <v>85</v>
      </c>
      <c r="G11" s="384">
        <v>85</v>
      </c>
      <c r="H11" s="421"/>
      <c r="I11" s="375"/>
      <c r="J11" s="375"/>
      <c r="K11" s="375"/>
      <c r="L11" s="375">
        <f>Table146[[#This Row],[Green target threshold]]+Table146[[#This Row],[Green target threshold]]*0.5</f>
        <v>0</v>
      </c>
      <c r="M11" s="375"/>
      <c r="N11" s="375"/>
      <c r="O11" s="375"/>
      <c r="P11" s="375"/>
      <c r="Q11" s="375"/>
      <c r="R11" s="375">
        <f>Table146[[#This Row],[Red target threshold]]-Table146[[#This Row],[Red target threshold]]*0.5</f>
        <v>0</v>
      </c>
      <c r="S11" s="375"/>
      <c r="T11" s="399"/>
      <c r="U11" s="362"/>
      <c r="V11" s="362"/>
    </row>
    <row r="12" spans="1:22" x14ac:dyDescent="0.25">
      <c r="A12" s="389"/>
      <c r="B12" s="372"/>
      <c r="C12" s="372"/>
      <c r="D12" s="378" t="s">
        <v>862</v>
      </c>
      <c r="E12" s="382">
        <v>96</v>
      </c>
      <c r="F12" s="383">
        <v>92</v>
      </c>
      <c r="G12" s="384">
        <v>87</v>
      </c>
      <c r="H12" s="421"/>
      <c r="I12" s="375"/>
      <c r="J12" s="375"/>
      <c r="K12" s="375"/>
      <c r="L12" s="375">
        <f>Table146[[#This Row],[Green target threshold]]+Table146[[#This Row],[Green target threshold]]*0.5</f>
        <v>0</v>
      </c>
      <c r="M12" s="375"/>
      <c r="N12" s="375"/>
      <c r="O12" s="375"/>
      <c r="P12" s="375"/>
      <c r="Q12" s="375"/>
      <c r="R12" s="375">
        <f>Table146[[#This Row],[Red target threshold]]-Table146[[#This Row],[Red target threshold]]*0.5</f>
        <v>0</v>
      </c>
      <c r="S12" s="375"/>
      <c r="T12" s="399"/>
      <c r="U12" s="362"/>
      <c r="V12" s="362"/>
    </row>
    <row r="13" spans="1:22" x14ac:dyDescent="0.25">
      <c r="A13" s="389"/>
      <c r="B13" s="372"/>
      <c r="C13" s="372"/>
      <c r="D13" s="378" t="s">
        <v>863</v>
      </c>
      <c r="E13" s="382">
        <v>91</v>
      </c>
      <c r="F13" s="383">
        <v>90</v>
      </c>
      <c r="G13" s="384">
        <v>89</v>
      </c>
      <c r="H13" s="421"/>
      <c r="I13" s="375"/>
      <c r="J13" s="375"/>
      <c r="K13" s="375"/>
      <c r="L13" s="375">
        <f>Table146[[#This Row],[Green target threshold]]+Table146[[#This Row],[Green target threshold]]*0.5</f>
        <v>0</v>
      </c>
      <c r="M13" s="375"/>
      <c r="N13" s="375"/>
      <c r="O13" s="375"/>
      <c r="P13" s="375"/>
      <c r="Q13" s="375"/>
      <c r="R13" s="375">
        <f>Table146[[#This Row],[Red target threshold]]-Table146[[#This Row],[Red target threshold]]*0.5</f>
        <v>0</v>
      </c>
      <c r="S13" s="375"/>
      <c r="T13" s="399"/>
      <c r="U13" s="362"/>
      <c r="V13" s="362"/>
    </row>
    <row r="14" spans="1:22" s="386" customFormat="1" x14ac:dyDescent="0.25">
      <c r="A14" s="409"/>
      <c r="B14" s="406"/>
      <c r="C14" s="406"/>
      <c r="D14" s="406"/>
      <c r="E14" s="407">
        <v>2015</v>
      </c>
      <c r="F14" s="407">
        <v>2016</v>
      </c>
      <c r="G14" s="407">
        <v>2017</v>
      </c>
      <c r="H14" s="407"/>
      <c r="I14" s="407"/>
      <c r="J14" s="407"/>
      <c r="K14" s="407"/>
      <c r="L14" s="407">
        <f>Table146[[#This Row],[Green target threshold]]+Table146[[#This Row],[Green target threshold]]*0.5</f>
        <v>0</v>
      </c>
      <c r="M14" s="407"/>
      <c r="N14" s="407"/>
      <c r="O14" s="407"/>
      <c r="P14" s="407"/>
      <c r="Q14" s="407"/>
      <c r="R14" s="407">
        <f>Table146[[#This Row],[Red target threshold]]-Table146[[#This Row],[Red target threshold]]*0.5</f>
        <v>0</v>
      </c>
      <c r="S14" s="407"/>
      <c r="T14" s="413"/>
    </row>
    <row r="15" spans="1:22" x14ac:dyDescent="0.25">
      <c r="A15" s="418" t="s">
        <v>534</v>
      </c>
      <c r="B15" s="437" t="s">
        <v>538</v>
      </c>
      <c r="C15" s="437" t="s">
        <v>667</v>
      </c>
      <c r="D15" s="436" t="s">
        <v>904</v>
      </c>
      <c r="E15" s="420">
        <v>3938.7696571541301</v>
      </c>
      <c r="F15" s="420">
        <v>3967.0291970742301</v>
      </c>
      <c r="G15" s="420">
        <v>4074.1755858883198</v>
      </c>
      <c r="H15" s="421">
        <v>2015</v>
      </c>
      <c r="I15" s="421">
        <v>3938.7696571541301</v>
      </c>
      <c r="J15" s="421">
        <v>2015</v>
      </c>
      <c r="K15" s="411">
        <v>3458.13</v>
      </c>
      <c r="L15" s="411">
        <f>Table146[[#This Row],[Green target threshold]]+Table146[[#This Row],[Green target threshold]]*0.5</f>
        <v>14417.52</v>
      </c>
      <c r="M15" s="421">
        <f>AVERAGE(G16:G20)</f>
        <v>9611.68</v>
      </c>
      <c r="N15" s="421"/>
      <c r="O15" s="421" t="s">
        <v>978</v>
      </c>
      <c r="P15" s="421">
        <f>(M15-K15)*0.5+K15</f>
        <v>6534.9050000000007</v>
      </c>
      <c r="Q15" s="421">
        <f>K15</f>
        <v>3458.13</v>
      </c>
      <c r="R15" s="421">
        <f>Table146[[#This Row],[Red target threshold]]-Table146[[#This Row],[Red target threshold]]*0.5</f>
        <v>1729.0650000000001</v>
      </c>
      <c r="S15" s="421"/>
      <c r="T15" s="419" t="s">
        <v>665</v>
      </c>
    </row>
    <row r="16" spans="1:22" x14ac:dyDescent="0.25">
      <c r="A16" s="390"/>
      <c r="B16" s="369"/>
      <c r="C16" s="369"/>
      <c r="D16" s="369" t="s">
        <v>678</v>
      </c>
      <c r="E16" s="379">
        <v>13956.1</v>
      </c>
      <c r="F16" s="380">
        <v>12931.2</v>
      </c>
      <c r="G16" s="381">
        <v>12964.2</v>
      </c>
      <c r="H16" s="421">
        <v>2017</v>
      </c>
      <c r="I16" s="375">
        <v>12964.2</v>
      </c>
      <c r="J16" s="375"/>
      <c r="K16" s="375"/>
      <c r="L16" s="375">
        <f>Table146[[#This Row],[Green target threshold]]+Table146[[#This Row],[Green target threshold]]*0.5</f>
        <v>0</v>
      </c>
      <c r="M16" s="375"/>
      <c r="N16" s="375"/>
      <c r="O16" s="375"/>
      <c r="P16" s="375"/>
      <c r="Q16" s="375"/>
      <c r="R16" s="375">
        <f>Table146[[#This Row],[Red target threshold]]-Table146[[#This Row],[Red target threshold]]*0.5</f>
        <v>0</v>
      </c>
      <c r="S16" s="375"/>
      <c r="T16" s="396"/>
    </row>
    <row r="17" spans="1:20" x14ac:dyDescent="0.25">
      <c r="A17" s="390"/>
      <c r="B17" s="369"/>
      <c r="C17" s="369"/>
      <c r="D17" s="369" t="s">
        <v>679</v>
      </c>
      <c r="E17" s="379">
        <v>9842.2000000000007</v>
      </c>
      <c r="F17" s="380">
        <v>6984.8</v>
      </c>
      <c r="G17" s="381">
        <v>9050.7000000000007</v>
      </c>
      <c r="H17" s="421">
        <v>2017</v>
      </c>
      <c r="I17" s="375">
        <v>9050.7000000000007</v>
      </c>
      <c r="J17" s="375"/>
      <c r="K17" s="375"/>
      <c r="L17" s="375">
        <f>Table146[[#This Row],[Green target threshold]]+Table146[[#This Row],[Green target threshold]]*0.5</f>
        <v>0</v>
      </c>
      <c r="M17" s="375"/>
      <c r="N17" s="375"/>
      <c r="O17" s="375"/>
      <c r="P17" s="375"/>
      <c r="Q17" s="375"/>
      <c r="R17" s="375">
        <f>Table146[[#This Row],[Red target threshold]]-Table146[[#This Row],[Red target threshold]]*0.5</f>
        <v>0</v>
      </c>
      <c r="S17" s="375"/>
      <c r="T17" s="396"/>
    </row>
    <row r="18" spans="1:20" x14ac:dyDescent="0.25">
      <c r="A18" s="390"/>
      <c r="B18" s="369"/>
      <c r="C18" s="369"/>
      <c r="D18" s="369" t="s">
        <v>680</v>
      </c>
      <c r="E18" s="379">
        <v>8752.7999999999993</v>
      </c>
      <c r="F18" s="380">
        <v>7776.9</v>
      </c>
      <c r="G18" s="381">
        <v>8794.1</v>
      </c>
      <c r="H18" s="421">
        <v>2017</v>
      </c>
      <c r="I18" s="375">
        <v>8794.1</v>
      </c>
      <c r="J18" s="375"/>
      <c r="K18" s="375"/>
      <c r="L18" s="375">
        <f>Table146[[#This Row],[Green target threshold]]+Table146[[#This Row],[Green target threshold]]*0.5</f>
        <v>0</v>
      </c>
      <c r="M18" s="375"/>
      <c r="N18" s="375"/>
      <c r="O18" s="375"/>
      <c r="P18" s="375"/>
      <c r="Q18" s="375"/>
      <c r="R18" s="375">
        <f>Table146[[#This Row],[Red target threshold]]-Table146[[#This Row],[Red target threshold]]*0.5</f>
        <v>0</v>
      </c>
      <c r="S18" s="375"/>
      <c r="T18" s="396"/>
    </row>
    <row r="19" spans="1:20" x14ac:dyDescent="0.25">
      <c r="A19" s="390"/>
      <c r="B19" s="369"/>
      <c r="C19" s="369"/>
      <c r="D19" s="369" t="s">
        <v>681</v>
      </c>
      <c r="E19" s="379">
        <v>9008.6</v>
      </c>
      <c r="F19" s="380">
        <v>8223.1</v>
      </c>
      <c r="G19" s="381">
        <v>8785</v>
      </c>
      <c r="H19" s="421">
        <v>2017</v>
      </c>
      <c r="I19" s="375">
        <v>8785</v>
      </c>
      <c r="J19" s="375"/>
      <c r="K19" s="375"/>
      <c r="L19" s="375">
        <f>Table146[[#This Row],[Green target threshold]]+Table146[[#This Row],[Green target threshold]]*0.5</f>
        <v>0</v>
      </c>
      <c r="M19" s="375"/>
      <c r="N19" s="375"/>
      <c r="O19" s="375"/>
      <c r="P19" s="375"/>
      <c r="Q19" s="375"/>
      <c r="R19" s="375">
        <f>Table146[[#This Row],[Red target threshold]]-Table146[[#This Row],[Red target threshold]]*0.5</f>
        <v>0</v>
      </c>
      <c r="S19" s="375"/>
      <c r="T19" s="396"/>
    </row>
    <row r="20" spans="1:20" x14ac:dyDescent="0.25">
      <c r="A20" s="390"/>
      <c r="B20" s="369"/>
      <c r="C20" s="369"/>
      <c r="D20" s="369" t="s">
        <v>682</v>
      </c>
      <c r="E20" s="379">
        <v>8026.6</v>
      </c>
      <c r="F20" s="380">
        <v>8383.7999999999993</v>
      </c>
      <c r="G20" s="381">
        <v>8464.4</v>
      </c>
      <c r="H20" s="421">
        <v>2017</v>
      </c>
      <c r="I20" s="375">
        <v>8464.4</v>
      </c>
      <c r="J20" s="375"/>
      <c r="K20" s="375"/>
      <c r="L20" s="375">
        <f>Table146[[#This Row],[Green target threshold]]+Table146[[#This Row],[Green target threshold]]*0.5</f>
        <v>0</v>
      </c>
      <c r="M20" s="375"/>
      <c r="N20" s="375"/>
      <c r="O20" s="375"/>
      <c r="P20" s="375"/>
      <c r="Q20" s="375"/>
      <c r="R20" s="375">
        <f>Table146[[#This Row],[Red target threshold]]-Table146[[#This Row],[Red target threshold]]*0.5</f>
        <v>0</v>
      </c>
      <c r="S20" s="375"/>
      <c r="T20" s="396"/>
    </row>
    <row r="21" spans="1:20" x14ac:dyDescent="0.25">
      <c r="A21" s="390"/>
      <c r="B21" s="369"/>
      <c r="C21" s="369"/>
      <c r="D21" s="369" t="s">
        <v>676</v>
      </c>
      <c r="E21" s="382">
        <v>551.29999999999995</v>
      </c>
      <c r="F21" s="383">
        <v>536.5</v>
      </c>
      <c r="G21" s="384">
        <v>541.9</v>
      </c>
      <c r="H21" s="421">
        <v>2017</v>
      </c>
      <c r="I21" s="375">
        <v>541.9</v>
      </c>
      <c r="J21" s="375"/>
      <c r="K21" s="375"/>
      <c r="L21" s="375">
        <f>Table146[[#This Row],[Green target threshold]]+Table146[[#This Row],[Green target threshold]]*0.5</f>
        <v>0</v>
      </c>
      <c r="M21" s="375"/>
      <c r="N21" s="375"/>
      <c r="O21" s="375"/>
      <c r="P21" s="375"/>
      <c r="Q21" s="375"/>
      <c r="R21" s="375">
        <f>Table146[[#This Row],[Red target threshold]]-Table146[[#This Row],[Red target threshold]]*0.5</f>
        <v>0</v>
      </c>
      <c r="S21" s="375"/>
      <c r="T21" s="396"/>
    </row>
    <row r="22" spans="1:20" x14ac:dyDescent="0.25">
      <c r="A22" s="390"/>
      <c r="B22" s="369"/>
      <c r="C22" s="369"/>
      <c r="D22" s="369" t="s">
        <v>683</v>
      </c>
      <c r="E22" s="382">
        <v>538</v>
      </c>
      <c r="F22" s="383">
        <v>507.2</v>
      </c>
      <c r="G22" s="384">
        <v>547</v>
      </c>
      <c r="H22" s="421">
        <v>2017</v>
      </c>
      <c r="I22" s="375">
        <v>547</v>
      </c>
      <c r="J22" s="375"/>
      <c r="K22" s="375"/>
      <c r="L22" s="375">
        <f>Table146[[#This Row],[Green target threshold]]+Table146[[#This Row],[Green target threshold]]*0.5</f>
        <v>0</v>
      </c>
      <c r="M22" s="375"/>
      <c r="N22" s="375"/>
      <c r="O22" s="375"/>
      <c r="P22" s="375"/>
      <c r="Q22" s="375"/>
      <c r="R22" s="375">
        <f>Table146[[#This Row],[Red target threshold]]-Table146[[#This Row],[Red target threshold]]*0.5</f>
        <v>0</v>
      </c>
      <c r="S22" s="375"/>
      <c r="T22" s="396"/>
    </row>
    <row r="23" spans="1:20" x14ac:dyDescent="0.25">
      <c r="A23" s="390"/>
      <c r="B23" s="369"/>
      <c r="C23" s="369"/>
      <c r="D23" s="369" t="s">
        <v>684</v>
      </c>
      <c r="E23" s="382">
        <v>553.6</v>
      </c>
      <c r="F23" s="383">
        <v>1279.4000000000001</v>
      </c>
      <c r="G23" s="384">
        <v>609.20000000000005</v>
      </c>
      <c r="H23" s="421">
        <v>2017</v>
      </c>
      <c r="I23" s="375">
        <v>609.20000000000005</v>
      </c>
      <c r="J23" s="375"/>
      <c r="K23" s="375"/>
      <c r="L23" s="375">
        <f>Table146[[#This Row],[Green target threshold]]+Table146[[#This Row],[Green target threshold]]*0.5</f>
        <v>0</v>
      </c>
      <c r="M23" s="375"/>
      <c r="N23" s="375"/>
      <c r="O23" s="375"/>
      <c r="P23" s="375"/>
      <c r="Q23" s="375"/>
      <c r="R23" s="375">
        <f>Table146[[#This Row],[Red target threshold]]-Table146[[#This Row],[Red target threshold]]*0.5</f>
        <v>0</v>
      </c>
      <c r="S23" s="375"/>
      <c r="T23" s="396"/>
    </row>
    <row r="24" spans="1:20" x14ac:dyDescent="0.25">
      <c r="A24" s="390"/>
      <c r="B24" s="369"/>
      <c r="C24" s="369"/>
      <c r="D24" s="369" t="s">
        <v>685</v>
      </c>
      <c r="E24" s="382">
        <v>558.20000000000005</v>
      </c>
      <c r="F24" s="383">
        <v>581.79999999999995</v>
      </c>
      <c r="G24" s="384">
        <v>616</v>
      </c>
      <c r="H24" s="421">
        <v>2017</v>
      </c>
      <c r="I24" s="375">
        <v>616</v>
      </c>
      <c r="J24" s="375"/>
      <c r="K24" s="375"/>
      <c r="L24" s="375">
        <f>Table146[[#This Row],[Green target threshold]]+Table146[[#This Row],[Green target threshold]]*0.5</f>
        <v>0</v>
      </c>
      <c r="M24" s="375"/>
      <c r="N24" s="375"/>
      <c r="O24" s="375"/>
      <c r="P24" s="375"/>
      <c r="Q24" s="375"/>
      <c r="R24" s="375">
        <f>Table146[[#This Row],[Red target threshold]]-Table146[[#This Row],[Red target threshold]]*0.5</f>
        <v>0</v>
      </c>
      <c r="S24" s="375"/>
      <c r="T24" s="396"/>
    </row>
    <row r="25" spans="1:20" x14ac:dyDescent="0.25">
      <c r="A25" s="390"/>
      <c r="B25" s="369"/>
      <c r="C25" s="369"/>
      <c r="D25" s="369" t="s">
        <v>686</v>
      </c>
      <c r="E25" s="382">
        <v>569.9</v>
      </c>
      <c r="F25" s="383">
        <v>684.8</v>
      </c>
      <c r="G25" s="384">
        <v>674.2</v>
      </c>
      <c r="H25" s="421">
        <v>2017</v>
      </c>
      <c r="I25" s="375">
        <v>674.2</v>
      </c>
      <c r="J25" s="375"/>
      <c r="K25" s="375"/>
      <c r="L25" s="375">
        <f>Table146[[#This Row],[Green target threshold]]+Table146[[#This Row],[Green target threshold]]*0.5</f>
        <v>0</v>
      </c>
      <c r="M25" s="375"/>
      <c r="N25" s="375"/>
      <c r="O25" s="375"/>
      <c r="P25" s="375"/>
      <c r="Q25" s="375"/>
      <c r="R25" s="375">
        <f>Table146[[#This Row],[Red target threshold]]-Table146[[#This Row],[Red target threshold]]*0.5</f>
        <v>0</v>
      </c>
      <c r="S25" s="375"/>
      <c r="T25" s="396"/>
    </row>
    <row r="26" spans="1:20" s="386" customFormat="1" x14ac:dyDescent="0.25">
      <c r="A26" s="409"/>
      <c r="B26" s="406"/>
      <c r="C26" s="406"/>
      <c r="D26" s="406"/>
      <c r="E26" s="407">
        <v>2015</v>
      </c>
      <c r="F26" s="407">
        <v>2016</v>
      </c>
      <c r="G26" s="407">
        <v>2017</v>
      </c>
      <c r="H26" s="407"/>
      <c r="I26" s="407"/>
      <c r="J26" s="407"/>
      <c r="K26" s="407"/>
      <c r="L26" s="407">
        <f>Table146[[#This Row],[Green target threshold]]+Table146[[#This Row],[Green target threshold]]*0.5</f>
        <v>0</v>
      </c>
      <c r="M26" s="407"/>
      <c r="N26" s="407"/>
      <c r="O26" s="407"/>
      <c r="P26" s="407"/>
      <c r="Q26" s="407"/>
      <c r="R26" s="407">
        <f>Table146[[#This Row],[Red target threshold]]-Table146[[#This Row],[Red target threshold]]*0.5</f>
        <v>0</v>
      </c>
      <c r="S26" s="407"/>
      <c r="T26" s="413"/>
    </row>
    <row r="27" spans="1:20" x14ac:dyDescent="0.25">
      <c r="A27" s="418" t="s">
        <v>535</v>
      </c>
      <c r="B27" s="437" t="s">
        <v>509</v>
      </c>
      <c r="C27" s="437" t="s">
        <v>1038</v>
      </c>
      <c r="D27" s="436" t="s">
        <v>904</v>
      </c>
      <c r="E27" s="420">
        <v>6579602</v>
      </c>
      <c r="F27" s="420">
        <v>6710148</v>
      </c>
      <c r="G27" s="420">
        <v>6898596</v>
      </c>
      <c r="H27" s="421">
        <v>2015</v>
      </c>
      <c r="I27" s="421">
        <v>6579602</v>
      </c>
      <c r="J27" s="375">
        <v>2015</v>
      </c>
      <c r="K27" s="424">
        <v>6788270</v>
      </c>
      <c r="L27" s="428">
        <f>Table146[[#This Row],[Green target threshold]]+Table146[[#This Row],[Green target threshold]]*0.5</f>
        <v>14804104.5</v>
      </c>
      <c r="M27" s="425">
        <f>Table146[[#This Row],[Data reference value]]+Table146[[#This Row],[Data reference value]]*Table146[[#This Row],[Improvement rate]]</f>
        <v>9869403</v>
      </c>
      <c r="N27" s="425">
        <v>0.5</v>
      </c>
      <c r="O27" s="421" t="s">
        <v>1140</v>
      </c>
      <c r="P27" s="425">
        <f>(Table146[[#This Row],[Green target threshold]]-Table146[[#This Row],[Model reference value]])*0.5+Table146[[#This Row],[Model reference value]]</f>
        <v>8328836.5</v>
      </c>
      <c r="Q27" s="425">
        <f>Table146[[#This Row],[Model reference value]]</f>
        <v>6788270</v>
      </c>
      <c r="R27" s="421">
        <f>Table146[[#This Row],[Red target threshold]]-Table146[[#This Row],[Red target threshold]]*0.5</f>
        <v>3394135</v>
      </c>
      <c r="S27" s="421" t="s">
        <v>1065</v>
      </c>
      <c r="T27" s="419" t="s">
        <v>852</v>
      </c>
    </row>
    <row r="28" spans="1:20" x14ac:dyDescent="0.25">
      <c r="A28" s="390"/>
      <c r="B28" s="369"/>
      <c r="C28" s="369"/>
      <c r="D28" s="369"/>
      <c r="E28" s="379"/>
      <c r="F28" s="380"/>
      <c r="G28" s="381"/>
      <c r="H28" s="421"/>
      <c r="I28" s="375"/>
      <c r="J28" s="375"/>
      <c r="K28" s="375"/>
      <c r="L28" s="375">
        <f>Table146[[#This Row],[Green target threshold]]+Table146[[#This Row],[Green target threshold]]*0.5</f>
        <v>0</v>
      </c>
      <c r="M28" s="375"/>
      <c r="N28" s="375"/>
      <c r="O28" s="375"/>
      <c r="P28" s="375"/>
      <c r="Q28" s="375"/>
      <c r="R28" s="375">
        <f>Table146[[#This Row],[Red target threshold]]-Table146[[#This Row],[Red target threshold]]*0.5</f>
        <v>0</v>
      </c>
      <c r="S28" s="375"/>
      <c r="T28" s="396"/>
    </row>
    <row r="29" spans="1:20" x14ac:dyDescent="0.25">
      <c r="A29" s="390"/>
      <c r="B29" s="369"/>
      <c r="C29" s="369"/>
      <c r="D29" s="372"/>
      <c r="E29" s="379"/>
      <c r="F29" s="380"/>
      <c r="G29" s="381"/>
      <c r="H29" s="421"/>
      <c r="I29" s="375"/>
      <c r="J29" s="375"/>
      <c r="K29" s="375"/>
      <c r="L29" s="431">
        <f>Table146[[#This Row],[Green target threshold]]+Table146[[#This Row],[Green target threshold]]*0.5</f>
        <v>0</v>
      </c>
      <c r="M29" s="375"/>
      <c r="N29" s="375"/>
      <c r="O29" s="375"/>
      <c r="P29" s="431"/>
      <c r="Q29" s="431"/>
      <c r="R29" s="431">
        <f>Table146[[#This Row],[Red target threshold]]-Table146[[#This Row],[Red target threshold]]*0.5</f>
        <v>0</v>
      </c>
      <c r="S29" s="375"/>
      <c r="T29" s="396"/>
    </row>
    <row r="30" spans="1:20" x14ac:dyDescent="0.25">
      <c r="A30" s="390"/>
      <c r="B30" s="369"/>
      <c r="C30" s="369"/>
      <c r="D30" s="372"/>
      <c r="E30" s="379"/>
      <c r="F30" s="380"/>
      <c r="G30" s="381"/>
      <c r="H30" s="421"/>
      <c r="I30" s="375"/>
      <c r="J30" s="375"/>
      <c r="K30" s="375"/>
      <c r="L30" s="431">
        <f>Table146[[#This Row],[Green target threshold]]+Table146[[#This Row],[Green target threshold]]*0.5</f>
        <v>0</v>
      </c>
      <c r="M30" s="375"/>
      <c r="N30" s="375"/>
      <c r="O30" s="375"/>
      <c r="P30" s="431"/>
      <c r="Q30" s="431"/>
      <c r="R30" s="431">
        <f>Table146[[#This Row],[Red target threshold]]-Table146[[#This Row],[Red target threshold]]*0.5</f>
        <v>0</v>
      </c>
      <c r="S30" s="375"/>
      <c r="T30" s="396"/>
    </row>
    <row r="31" spans="1:20" x14ac:dyDescent="0.25">
      <c r="A31" s="390"/>
      <c r="B31" s="369"/>
      <c r="C31" s="369"/>
      <c r="D31" s="372"/>
      <c r="E31" s="379"/>
      <c r="F31" s="380"/>
      <c r="G31" s="381"/>
      <c r="H31" s="421"/>
      <c r="I31" s="375"/>
      <c r="J31" s="375"/>
      <c r="K31" s="375"/>
      <c r="L31" s="431">
        <f>Table146[[#This Row],[Green target threshold]]+Table146[[#This Row],[Green target threshold]]*0.5</f>
        <v>0</v>
      </c>
      <c r="M31" s="375"/>
      <c r="N31" s="375"/>
      <c r="O31" s="375"/>
      <c r="P31" s="431"/>
      <c r="Q31" s="431"/>
      <c r="R31" s="431">
        <f>Table146[[#This Row],[Red target threshold]]-Table146[[#This Row],[Red target threshold]]*0.5</f>
        <v>0</v>
      </c>
      <c r="S31" s="375"/>
      <c r="T31" s="396"/>
    </row>
    <row r="32" spans="1:20" x14ac:dyDescent="0.25">
      <c r="A32" s="390"/>
      <c r="B32" s="369"/>
      <c r="C32" s="369"/>
      <c r="D32" s="372"/>
      <c r="E32" s="379"/>
      <c r="F32" s="380"/>
      <c r="G32" s="381"/>
      <c r="H32" s="421"/>
      <c r="I32" s="375"/>
      <c r="J32" s="375"/>
      <c r="K32" s="375"/>
      <c r="L32" s="431">
        <f>Table146[[#This Row],[Green target threshold]]+Table146[[#This Row],[Green target threshold]]*0.5</f>
        <v>0</v>
      </c>
      <c r="M32" s="375"/>
      <c r="N32" s="375"/>
      <c r="O32" s="375"/>
      <c r="P32" s="431"/>
      <c r="Q32" s="431"/>
      <c r="R32" s="431">
        <f>Table146[[#This Row],[Red target threshold]]-Table146[[#This Row],[Red target threshold]]*0.5</f>
        <v>0</v>
      </c>
      <c r="S32" s="375"/>
      <c r="T32" s="396"/>
    </row>
    <row r="33" spans="1:20" x14ac:dyDescent="0.25">
      <c r="A33" s="390"/>
      <c r="B33" s="369"/>
      <c r="C33" s="369"/>
      <c r="D33" s="369"/>
      <c r="E33" s="382"/>
      <c r="F33" s="383"/>
      <c r="G33" s="384"/>
      <c r="H33" s="421"/>
      <c r="I33" s="375"/>
      <c r="J33" s="375"/>
      <c r="K33" s="375"/>
      <c r="L33" s="375">
        <f>Table146[[#This Row],[Green target threshold]]+Table146[[#This Row],[Green target threshold]]*0.5</f>
        <v>0</v>
      </c>
      <c r="M33" s="375"/>
      <c r="N33" s="375"/>
      <c r="O33" s="375"/>
      <c r="P33" s="375"/>
      <c r="Q33" s="375"/>
      <c r="R33" s="375">
        <f>Table146[[#This Row],[Red target threshold]]-Table146[[#This Row],[Red target threshold]]*0.5</f>
        <v>0</v>
      </c>
      <c r="S33" s="375"/>
      <c r="T33" s="396"/>
    </row>
    <row r="34" spans="1:20" x14ac:dyDescent="0.25">
      <c r="A34" s="390"/>
      <c r="B34" s="369"/>
      <c r="C34" s="369"/>
      <c r="D34" s="369"/>
      <c r="E34" s="382"/>
      <c r="F34" s="383"/>
      <c r="G34" s="384"/>
      <c r="H34" s="421"/>
      <c r="I34" s="375"/>
      <c r="J34" s="375"/>
      <c r="K34" s="375"/>
      <c r="L34" s="375">
        <f>Table146[[#This Row],[Green target threshold]]+Table146[[#This Row],[Green target threshold]]*0.5</f>
        <v>0</v>
      </c>
      <c r="M34" s="375"/>
      <c r="N34" s="375"/>
      <c r="O34" s="375"/>
      <c r="P34" s="375"/>
      <c r="Q34" s="375"/>
      <c r="R34" s="375">
        <f>Table146[[#This Row],[Red target threshold]]-Table146[[#This Row],[Red target threshold]]*0.5</f>
        <v>0</v>
      </c>
      <c r="S34" s="375"/>
      <c r="T34" s="396"/>
    </row>
    <row r="35" spans="1:20" x14ac:dyDescent="0.25">
      <c r="A35" s="390"/>
      <c r="B35" s="369"/>
      <c r="C35" s="369"/>
      <c r="D35" s="372"/>
      <c r="E35" s="382"/>
      <c r="F35" s="383"/>
      <c r="G35" s="384"/>
      <c r="H35" s="421"/>
      <c r="I35" s="375"/>
      <c r="J35" s="375"/>
      <c r="K35" s="375"/>
      <c r="L35" s="431">
        <f>Table146[[#This Row],[Green target threshold]]+Table146[[#This Row],[Green target threshold]]*0.5</f>
        <v>0</v>
      </c>
      <c r="M35" s="375"/>
      <c r="N35" s="375"/>
      <c r="O35" s="375"/>
      <c r="P35" s="431"/>
      <c r="Q35" s="431"/>
      <c r="R35" s="431">
        <f>Table146[[#This Row],[Red target threshold]]-Table146[[#This Row],[Red target threshold]]*0.5</f>
        <v>0</v>
      </c>
      <c r="S35" s="375"/>
      <c r="T35" s="396"/>
    </row>
    <row r="36" spans="1:20" x14ac:dyDescent="0.25">
      <c r="A36" s="390"/>
      <c r="B36" s="369"/>
      <c r="C36" s="369"/>
      <c r="D36" s="372"/>
      <c r="E36" s="382"/>
      <c r="F36" s="383"/>
      <c r="G36" s="384"/>
      <c r="H36" s="421"/>
      <c r="I36" s="375"/>
      <c r="J36" s="375"/>
      <c r="K36" s="375"/>
      <c r="L36" s="431">
        <f>Table146[[#This Row],[Green target threshold]]+Table146[[#This Row],[Green target threshold]]*0.5</f>
        <v>0</v>
      </c>
      <c r="M36" s="375"/>
      <c r="N36" s="375"/>
      <c r="O36" s="375"/>
      <c r="P36" s="431"/>
      <c r="Q36" s="431"/>
      <c r="R36" s="431">
        <f>Table146[[#This Row],[Red target threshold]]-Table146[[#This Row],[Red target threshold]]*0.5</f>
        <v>0</v>
      </c>
      <c r="S36" s="375"/>
      <c r="T36" s="396"/>
    </row>
    <row r="37" spans="1:20" x14ac:dyDescent="0.25">
      <c r="A37" s="390"/>
      <c r="B37" s="369"/>
      <c r="C37" s="369"/>
      <c r="D37" s="372"/>
      <c r="E37" s="382"/>
      <c r="F37" s="383"/>
      <c r="G37" s="384"/>
      <c r="H37" s="421"/>
      <c r="I37" s="375"/>
      <c r="J37" s="375"/>
      <c r="K37" s="375"/>
      <c r="L37" s="431">
        <f>Table146[[#This Row],[Green target threshold]]+Table146[[#This Row],[Green target threshold]]*0.5</f>
        <v>0</v>
      </c>
      <c r="M37" s="375"/>
      <c r="N37" s="375"/>
      <c r="O37" s="375"/>
      <c r="P37" s="431"/>
      <c r="Q37" s="431"/>
      <c r="R37" s="431">
        <f>Table146[[#This Row],[Red target threshold]]-Table146[[#This Row],[Red target threshold]]*0.5</f>
        <v>0</v>
      </c>
      <c r="S37" s="375"/>
      <c r="T37" s="396"/>
    </row>
    <row r="38" spans="1:20" s="386" customFormat="1" x14ac:dyDescent="0.25">
      <c r="A38" s="409"/>
      <c r="B38" s="406"/>
      <c r="C38" s="406"/>
      <c r="D38" s="406"/>
      <c r="E38" s="407">
        <v>2015</v>
      </c>
      <c r="F38" s="407">
        <v>2016</v>
      </c>
      <c r="G38" s="407">
        <v>2017</v>
      </c>
      <c r="H38" s="407"/>
      <c r="I38" s="407"/>
      <c r="J38" s="407"/>
      <c r="K38" s="407"/>
      <c r="L38" s="407">
        <f>Table146[[#This Row],[Green target threshold]]+Table146[[#This Row],[Green target threshold]]*0.5</f>
        <v>0</v>
      </c>
      <c r="M38" s="407"/>
      <c r="N38" s="407"/>
      <c r="O38" s="407"/>
      <c r="P38" s="407"/>
      <c r="Q38" s="407"/>
      <c r="R38" s="407">
        <f>Table146[[#This Row],[Red target threshold]]-Table146[[#This Row],[Red target threshold]]*0.5</f>
        <v>0</v>
      </c>
      <c r="S38" s="407"/>
      <c r="T38" s="413"/>
    </row>
    <row r="39" spans="1:20" x14ac:dyDescent="0.25">
      <c r="A39" s="418" t="s">
        <v>536</v>
      </c>
      <c r="B39" s="437" t="s">
        <v>508</v>
      </c>
      <c r="C39" s="437" t="s">
        <v>1038</v>
      </c>
      <c r="D39" s="436" t="s">
        <v>904</v>
      </c>
      <c r="E39" s="420">
        <v>324246</v>
      </c>
      <c r="F39" s="420">
        <v>328069</v>
      </c>
      <c r="G39" s="420">
        <v>332386</v>
      </c>
      <c r="H39" s="421">
        <v>2015</v>
      </c>
      <c r="I39" s="421">
        <v>324246</v>
      </c>
      <c r="J39" s="421">
        <v>2015</v>
      </c>
      <c r="K39" s="411">
        <v>340079</v>
      </c>
      <c r="L39" s="411">
        <f>Table146[[#This Row],[Green target threshold]]+Table146[[#This Row],[Green target threshold]]*0.5</f>
        <v>729553.5</v>
      </c>
      <c r="M39" s="421">
        <f>Table146[[#This Row],[Data reference value]]+Table146[[#This Row],[Data reference value]]*Table146[[#This Row],[Improvement rate]]</f>
        <v>486369</v>
      </c>
      <c r="N39" s="421">
        <v>0.5</v>
      </c>
      <c r="O39" s="421" t="s">
        <v>1140</v>
      </c>
      <c r="P39" s="421">
        <f>(Table146[[#This Row],[Green target threshold]]-Table146[[#This Row],[Model reference value]])*0.5+Table146[[#This Row],[Model reference value]]</f>
        <v>413224</v>
      </c>
      <c r="Q39" s="421">
        <f>Table146[[#This Row],[Model reference value]]</f>
        <v>340079</v>
      </c>
      <c r="R39" s="421">
        <f>Table146[[#This Row],[Red target threshold]]-Table146[[#This Row],[Red target threshold]]*0.5</f>
        <v>170039.5</v>
      </c>
      <c r="S39" s="421" t="s">
        <v>1066</v>
      </c>
      <c r="T39" s="419" t="s">
        <v>852</v>
      </c>
    </row>
    <row r="40" spans="1:20" x14ac:dyDescent="0.25">
      <c r="A40" s="390"/>
      <c r="B40" s="369"/>
      <c r="C40" s="369"/>
      <c r="D40" s="369" t="s">
        <v>777</v>
      </c>
      <c r="E40" s="379">
        <v>88366</v>
      </c>
      <c r="F40" s="380">
        <v>87584</v>
      </c>
      <c r="G40" s="381">
        <v>88051</v>
      </c>
      <c r="H40" s="421"/>
      <c r="I40" s="375"/>
      <c r="J40" s="375"/>
      <c r="K40" s="375"/>
      <c r="L40" s="375">
        <f>Table146[[#This Row],[Green target threshold]]+Table146[[#This Row],[Green target threshold]]*0.5</f>
        <v>0</v>
      </c>
      <c r="M40" s="375"/>
      <c r="N40" s="375"/>
      <c r="O40" s="375"/>
      <c r="P40" s="375"/>
      <c r="Q40" s="375"/>
      <c r="R40" s="375">
        <f>Table146[[#This Row],[Red target threshold]]-Table146[[#This Row],[Red target threshold]]*0.5</f>
        <v>0</v>
      </c>
      <c r="S40" s="375"/>
      <c r="T40" s="396"/>
    </row>
    <row r="41" spans="1:20" x14ac:dyDescent="0.25">
      <c r="A41" s="390"/>
      <c r="B41" s="369"/>
      <c r="C41" s="369"/>
      <c r="D41" s="369" t="s">
        <v>847</v>
      </c>
      <c r="E41" s="379">
        <v>43275</v>
      </c>
      <c r="F41" s="380">
        <v>44636</v>
      </c>
      <c r="G41" s="381">
        <v>45791</v>
      </c>
      <c r="H41" s="421"/>
      <c r="I41" s="375"/>
      <c r="J41" s="375"/>
      <c r="K41" s="375"/>
      <c r="L41" s="375">
        <f>Table146[[#This Row],[Green target threshold]]+Table146[[#This Row],[Green target threshold]]*0.5</f>
        <v>0</v>
      </c>
      <c r="M41" s="375"/>
      <c r="N41" s="375"/>
      <c r="O41" s="375"/>
      <c r="P41" s="375"/>
      <c r="Q41" s="375"/>
      <c r="R41" s="375">
        <f>Table146[[#This Row],[Red target threshold]]-Table146[[#This Row],[Red target threshold]]*0.5</f>
        <v>0</v>
      </c>
      <c r="S41" s="375"/>
      <c r="T41" s="396"/>
    </row>
    <row r="42" spans="1:20" x14ac:dyDescent="0.25">
      <c r="A42" s="390"/>
      <c r="B42" s="369"/>
      <c r="C42" s="369"/>
      <c r="D42" s="369" t="s">
        <v>778</v>
      </c>
      <c r="E42" s="379">
        <v>26864</v>
      </c>
      <c r="F42" s="380">
        <v>27200</v>
      </c>
      <c r="G42" s="381">
        <v>27946</v>
      </c>
      <c r="H42" s="421"/>
      <c r="I42" s="375"/>
      <c r="J42" s="375"/>
      <c r="K42" s="375"/>
      <c r="L42" s="375">
        <f>Table146[[#This Row],[Green target threshold]]+Table146[[#This Row],[Green target threshold]]*0.5</f>
        <v>0</v>
      </c>
      <c r="M42" s="375"/>
      <c r="N42" s="375"/>
      <c r="O42" s="375"/>
      <c r="P42" s="375"/>
      <c r="Q42" s="375"/>
      <c r="R42" s="375">
        <f>Table146[[#This Row],[Red target threshold]]-Table146[[#This Row],[Red target threshold]]*0.5</f>
        <v>0</v>
      </c>
      <c r="S42" s="375"/>
      <c r="T42" s="396"/>
    </row>
    <row r="43" spans="1:20" x14ac:dyDescent="0.25">
      <c r="A43" s="390"/>
      <c r="B43" s="369"/>
      <c r="C43" s="369"/>
      <c r="D43" s="369" t="s">
        <v>841</v>
      </c>
      <c r="E43" s="379">
        <v>9570</v>
      </c>
      <c r="F43" s="380">
        <v>9904</v>
      </c>
      <c r="G43" s="381">
        <v>10389</v>
      </c>
      <c r="H43" s="421"/>
      <c r="I43" s="375"/>
      <c r="J43" s="375"/>
      <c r="K43" s="375"/>
      <c r="L43" s="375">
        <f>Table146[[#This Row],[Green target threshold]]+Table146[[#This Row],[Green target threshold]]*0.5</f>
        <v>0</v>
      </c>
      <c r="M43" s="375"/>
      <c r="N43" s="375"/>
      <c r="O43" s="375"/>
      <c r="P43" s="375"/>
      <c r="Q43" s="375"/>
      <c r="R43" s="375">
        <f>Table146[[#This Row],[Red target threshold]]-Table146[[#This Row],[Red target threshold]]*0.5</f>
        <v>0</v>
      </c>
      <c r="S43" s="375"/>
      <c r="T43" s="396"/>
    </row>
    <row r="44" spans="1:20" x14ac:dyDescent="0.25">
      <c r="A44" s="390"/>
      <c r="B44" s="369"/>
      <c r="C44" s="369"/>
      <c r="D44" s="369" t="s">
        <v>720</v>
      </c>
      <c r="E44" s="379">
        <v>8388</v>
      </c>
      <c r="F44" s="380">
        <v>8436</v>
      </c>
      <c r="G44" s="381">
        <v>8298</v>
      </c>
      <c r="H44" s="421"/>
      <c r="I44" s="375"/>
      <c r="J44" s="375"/>
      <c r="K44" s="375"/>
      <c r="L44" s="375">
        <f>Table146[[#This Row],[Green target threshold]]+Table146[[#This Row],[Green target threshold]]*0.5</f>
        <v>0</v>
      </c>
      <c r="M44" s="375"/>
      <c r="N44" s="375"/>
      <c r="O44" s="375"/>
      <c r="P44" s="375"/>
      <c r="Q44" s="375"/>
      <c r="R44" s="375">
        <f>Table146[[#This Row],[Red target threshold]]-Table146[[#This Row],[Red target threshold]]*0.5</f>
        <v>0</v>
      </c>
      <c r="S44" s="375"/>
      <c r="T44" s="396"/>
    </row>
    <row r="45" spans="1:20" x14ac:dyDescent="0.25">
      <c r="A45" s="390"/>
      <c r="B45" s="369"/>
      <c r="C45" s="369"/>
      <c r="D45" s="369" t="s">
        <v>848</v>
      </c>
      <c r="E45" s="382">
        <v>4</v>
      </c>
      <c r="F45" s="383">
        <v>4</v>
      </c>
      <c r="G45" s="384">
        <v>4</v>
      </c>
      <c r="H45" s="421"/>
      <c r="I45" s="375"/>
      <c r="J45" s="375"/>
      <c r="K45" s="375"/>
      <c r="L45" s="375">
        <f>Table146[[#This Row],[Green target threshold]]+Table146[[#This Row],[Green target threshold]]*0.5</f>
        <v>0</v>
      </c>
      <c r="M45" s="375"/>
      <c r="N45" s="375"/>
      <c r="O45" s="375"/>
      <c r="P45" s="375"/>
      <c r="Q45" s="375"/>
      <c r="R45" s="375">
        <f>Table146[[#This Row],[Red target threshold]]-Table146[[#This Row],[Red target threshold]]*0.5</f>
        <v>0</v>
      </c>
      <c r="S45" s="375"/>
      <c r="T45" s="396"/>
    </row>
    <row r="46" spans="1:20" x14ac:dyDescent="0.25">
      <c r="A46" s="390"/>
      <c r="B46" s="369"/>
      <c r="C46" s="369"/>
      <c r="D46" s="369" t="s">
        <v>849</v>
      </c>
      <c r="E46" s="382">
        <v>5</v>
      </c>
      <c r="F46" s="383">
        <v>5</v>
      </c>
      <c r="G46" s="384">
        <v>5</v>
      </c>
      <c r="H46" s="421"/>
      <c r="I46" s="375"/>
      <c r="J46" s="375"/>
      <c r="K46" s="375"/>
      <c r="L46" s="375">
        <f>Table146[[#This Row],[Green target threshold]]+Table146[[#This Row],[Green target threshold]]*0.5</f>
        <v>0</v>
      </c>
      <c r="M46" s="375"/>
      <c r="N46" s="375"/>
      <c r="O46" s="375"/>
      <c r="P46" s="375"/>
      <c r="Q46" s="375"/>
      <c r="R46" s="375">
        <f>Table146[[#This Row],[Red target threshold]]-Table146[[#This Row],[Red target threshold]]*0.5</f>
        <v>0</v>
      </c>
      <c r="S46" s="375"/>
      <c r="T46" s="396"/>
    </row>
    <row r="47" spans="1:20" x14ac:dyDescent="0.25">
      <c r="A47" s="390"/>
      <c r="B47" s="369"/>
      <c r="C47" s="369"/>
      <c r="D47" s="369" t="s">
        <v>850</v>
      </c>
      <c r="E47" s="382">
        <v>11</v>
      </c>
      <c r="F47" s="383">
        <v>11</v>
      </c>
      <c r="G47" s="384">
        <v>11</v>
      </c>
      <c r="H47" s="421"/>
      <c r="I47" s="375"/>
      <c r="J47" s="375"/>
      <c r="K47" s="375"/>
      <c r="L47" s="375">
        <f>Table146[[#This Row],[Green target threshold]]+Table146[[#This Row],[Green target threshold]]*0.5</f>
        <v>0</v>
      </c>
      <c r="M47" s="375"/>
      <c r="N47" s="375"/>
      <c r="O47" s="375"/>
      <c r="P47" s="375"/>
      <c r="Q47" s="375"/>
      <c r="R47" s="375">
        <f>Table146[[#This Row],[Red target threshold]]-Table146[[#This Row],[Red target threshold]]*0.5</f>
        <v>0</v>
      </c>
      <c r="S47" s="375"/>
      <c r="T47" s="396"/>
    </row>
    <row r="48" spans="1:20" x14ac:dyDescent="0.25">
      <c r="A48" s="390"/>
      <c r="B48" s="369"/>
      <c r="C48" s="369"/>
      <c r="D48" s="369" t="s">
        <v>851</v>
      </c>
      <c r="E48" s="382">
        <v>12</v>
      </c>
      <c r="F48" s="383">
        <v>11</v>
      </c>
      <c r="G48" s="384">
        <v>12</v>
      </c>
      <c r="H48" s="421"/>
      <c r="I48" s="375"/>
      <c r="J48" s="375"/>
      <c r="K48" s="375"/>
      <c r="L48" s="375">
        <f>Table146[[#This Row],[Green target threshold]]+Table146[[#This Row],[Green target threshold]]*0.5</f>
        <v>0</v>
      </c>
      <c r="M48" s="375"/>
      <c r="N48" s="375"/>
      <c r="O48" s="375"/>
      <c r="P48" s="375"/>
      <c r="Q48" s="375"/>
      <c r="R48" s="375">
        <f>Table146[[#This Row],[Red target threshold]]-Table146[[#This Row],[Red target threshold]]*0.5</f>
        <v>0</v>
      </c>
      <c r="S48" s="375"/>
      <c r="T48" s="396"/>
    </row>
    <row r="49" spans="1:20" x14ac:dyDescent="0.25">
      <c r="A49" s="390"/>
      <c r="B49" s="369"/>
      <c r="C49" s="369"/>
      <c r="D49" s="369" t="s">
        <v>713</v>
      </c>
      <c r="E49" s="382">
        <v>34</v>
      </c>
      <c r="F49" s="383">
        <v>37</v>
      </c>
      <c r="G49" s="384">
        <v>38</v>
      </c>
      <c r="H49" s="421"/>
      <c r="I49" s="375"/>
      <c r="J49" s="375"/>
      <c r="K49" s="375"/>
      <c r="L49" s="375">
        <f>Table146[[#This Row],[Green target threshold]]+Table146[[#This Row],[Green target threshold]]*0.5</f>
        <v>0</v>
      </c>
      <c r="M49" s="375"/>
      <c r="N49" s="375"/>
      <c r="O49" s="375"/>
      <c r="P49" s="375"/>
      <c r="Q49" s="375"/>
      <c r="R49" s="375">
        <f>Table146[[#This Row],[Red target threshold]]-Table146[[#This Row],[Red target threshold]]*0.5</f>
        <v>0</v>
      </c>
      <c r="S49" s="375"/>
      <c r="T49" s="396"/>
    </row>
    <row r="50" spans="1:20" s="387" customFormat="1" x14ac:dyDescent="0.25">
      <c r="A50" s="410"/>
      <c r="B50" s="415"/>
      <c r="C50" s="415"/>
      <c r="D50" s="415"/>
      <c r="E50" s="417">
        <v>2005</v>
      </c>
      <c r="F50" s="417">
        <v>2010</v>
      </c>
      <c r="G50" s="417">
        <v>2020</v>
      </c>
      <c r="H50" s="417"/>
      <c r="I50" s="417"/>
      <c r="J50" s="417"/>
      <c r="K50" s="417"/>
      <c r="L50" s="417">
        <f>Table146[[#This Row],[Green target threshold]]+Table146[[#This Row],[Green target threshold]]*0.5</f>
        <v>0</v>
      </c>
      <c r="M50" s="417"/>
      <c r="N50" s="417"/>
      <c r="O50" s="417"/>
      <c r="P50" s="417"/>
      <c r="Q50" s="417"/>
      <c r="R50" s="417">
        <f>Table146[[#This Row],[Red target threshold]]-Table146[[#This Row],[Red target threshold]]*0.5</f>
        <v>0</v>
      </c>
      <c r="S50" s="417"/>
      <c r="T50" s="412"/>
    </row>
    <row r="51" spans="1:20" s="362" customFormat="1" ht="14.25" customHeight="1" x14ac:dyDescent="0.25">
      <c r="A51" s="422" t="s">
        <v>537</v>
      </c>
      <c r="B51" s="436" t="s">
        <v>30</v>
      </c>
      <c r="C51" s="436" t="s">
        <v>971</v>
      </c>
      <c r="D51" s="436" t="s">
        <v>1083</v>
      </c>
      <c r="E51" s="420">
        <v>216.13</v>
      </c>
      <c r="F51" s="420">
        <v>233.11699999999999</v>
      </c>
      <c r="G51" s="420">
        <v>276.59199999999998</v>
      </c>
      <c r="H51" s="421">
        <v>2020</v>
      </c>
      <c r="I51" s="421">
        <v>276.59199999999998</v>
      </c>
      <c r="J51" s="421">
        <v>2015</v>
      </c>
      <c r="K51" s="411">
        <v>275.911</v>
      </c>
      <c r="L51" s="411">
        <f>Table146[[#This Row],[Green target threshold]]+Table146[[#This Row],[Green target threshold]]*0.5</f>
        <v>622.33199999999999</v>
      </c>
      <c r="M51" s="421">
        <f>Table146[[#This Row],[Data reference value]]+Table146[[#This Row],[Data reference value]]*Table146[[#This Row],[Improvement rate]]</f>
        <v>414.88799999999998</v>
      </c>
      <c r="N51" s="421">
        <v>0.5</v>
      </c>
      <c r="O51" s="421" t="s">
        <v>1140</v>
      </c>
      <c r="P51" s="421">
        <f>(Table146[[#This Row],[Green target threshold]]-Table146[[#This Row],[Model reference value]])*0.5+Table146[[#This Row],[Model reference value]]</f>
        <v>345.39949999999999</v>
      </c>
      <c r="Q51" s="421">
        <f>Table146[[#This Row],[Model reference value]]</f>
        <v>275.911</v>
      </c>
      <c r="R51" s="421">
        <f>Table146[[#This Row],[Red target threshold]]-Table146[[#This Row],[Red target threshold]]*0.5</f>
        <v>137.9555</v>
      </c>
      <c r="S51" s="421" t="s">
        <v>1120</v>
      </c>
      <c r="T51" s="419" t="s">
        <v>979</v>
      </c>
    </row>
    <row r="52" spans="1:20" s="362" customFormat="1" x14ac:dyDescent="0.25">
      <c r="A52" s="389"/>
      <c r="B52" s="372"/>
      <c r="C52" s="372"/>
      <c r="D52" s="372"/>
      <c r="E52" s="379"/>
      <c r="F52" s="380"/>
      <c r="G52" s="381"/>
      <c r="H52" s="421"/>
      <c r="I52" s="375"/>
      <c r="J52" s="375"/>
      <c r="K52" s="375"/>
      <c r="L52" s="375">
        <f>Table146[[#This Row],[Green target threshold]]+Table146[[#This Row],[Green target threshold]]*0.5</f>
        <v>0</v>
      </c>
      <c r="M52" s="375"/>
      <c r="N52" s="375"/>
      <c r="O52" s="375"/>
      <c r="P52" s="375"/>
      <c r="Q52" s="375"/>
      <c r="R52" s="375">
        <f>Table146[[#This Row],[Red target threshold]]-Table146[[#This Row],[Red target threshold]]*0.5</f>
        <v>0</v>
      </c>
      <c r="S52" s="375"/>
      <c r="T52" s="399"/>
    </row>
    <row r="53" spans="1:20" s="362" customFormat="1" x14ac:dyDescent="0.25">
      <c r="A53" s="389"/>
      <c r="B53" s="372"/>
      <c r="C53" s="372"/>
      <c r="D53" s="372"/>
      <c r="E53" s="379"/>
      <c r="F53" s="380"/>
      <c r="G53" s="381"/>
      <c r="H53" s="421"/>
      <c r="I53" s="375"/>
      <c r="J53" s="375"/>
      <c r="K53" s="375"/>
      <c r="L53" s="375">
        <f>Table146[[#This Row],[Green target threshold]]+Table146[[#This Row],[Green target threshold]]*0.5</f>
        <v>0</v>
      </c>
      <c r="M53" s="375"/>
      <c r="N53" s="375"/>
      <c r="O53" s="375"/>
      <c r="P53" s="375"/>
      <c r="Q53" s="375"/>
      <c r="R53" s="375">
        <f>Table146[[#This Row],[Red target threshold]]-Table146[[#This Row],[Red target threshold]]*0.5</f>
        <v>0</v>
      </c>
      <c r="S53" s="375"/>
      <c r="T53" s="399"/>
    </row>
    <row r="54" spans="1:20" s="362" customFormat="1" x14ac:dyDescent="0.25">
      <c r="A54" s="389"/>
      <c r="B54" s="372"/>
      <c r="C54" s="372"/>
      <c r="D54" s="372"/>
      <c r="E54" s="379"/>
      <c r="F54" s="380"/>
      <c r="G54" s="381"/>
      <c r="H54" s="421"/>
      <c r="I54" s="375"/>
      <c r="J54" s="375"/>
      <c r="K54" s="375"/>
      <c r="L54" s="375">
        <f>Table146[[#This Row],[Green target threshold]]+Table146[[#This Row],[Green target threshold]]*0.5</f>
        <v>0</v>
      </c>
      <c r="M54" s="375"/>
      <c r="N54" s="375"/>
      <c r="O54" s="375"/>
      <c r="P54" s="375"/>
      <c r="Q54" s="375"/>
      <c r="R54" s="375">
        <f>Table146[[#This Row],[Red target threshold]]-Table146[[#This Row],[Red target threshold]]*0.5</f>
        <v>0</v>
      </c>
      <c r="S54" s="375"/>
      <c r="T54" s="399"/>
    </row>
    <row r="55" spans="1:20" s="362" customFormat="1" x14ac:dyDescent="0.25">
      <c r="A55" s="389"/>
      <c r="B55" s="372"/>
      <c r="C55" s="372"/>
      <c r="D55" s="372"/>
      <c r="E55" s="379"/>
      <c r="F55" s="380"/>
      <c r="G55" s="381"/>
      <c r="H55" s="421"/>
      <c r="I55" s="375"/>
      <c r="J55" s="375"/>
      <c r="K55" s="375"/>
      <c r="L55" s="431">
        <f>Table146[[#This Row],[Green target threshold]]+Table146[[#This Row],[Green target threshold]]*0.5</f>
        <v>0</v>
      </c>
      <c r="M55" s="375"/>
      <c r="N55" s="375"/>
      <c r="O55" s="375"/>
      <c r="P55" s="431"/>
      <c r="Q55" s="431"/>
      <c r="R55" s="431">
        <f>Table146[[#This Row],[Red target threshold]]-Table146[[#This Row],[Red target threshold]]*0.5</f>
        <v>0</v>
      </c>
      <c r="S55" s="375"/>
      <c r="T55" s="399"/>
    </row>
    <row r="56" spans="1:20" s="362" customFormat="1" x14ac:dyDescent="0.25">
      <c r="A56" s="389"/>
      <c r="B56" s="372"/>
      <c r="C56" s="372"/>
      <c r="D56" s="372"/>
      <c r="E56" s="379"/>
      <c r="F56" s="380"/>
      <c r="G56" s="381"/>
      <c r="H56" s="421"/>
      <c r="I56" s="375"/>
      <c r="J56" s="375"/>
      <c r="K56" s="375"/>
      <c r="L56" s="431">
        <f>Table146[[#This Row],[Green target threshold]]+Table146[[#This Row],[Green target threshold]]*0.5</f>
        <v>0</v>
      </c>
      <c r="M56" s="375"/>
      <c r="N56" s="375"/>
      <c r="O56" s="375"/>
      <c r="P56" s="431"/>
      <c r="Q56" s="431"/>
      <c r="R56" s="431">
        <f>Table146[[#This Row],[Red target threshold]]-Table146[[#This Row],[Red target threshold]]*0.5</f>
        <v>0</v>
      </c>
      <c r="S56" s="375"/>
      <c r="T56" s="399"/>
    </row>
    <row r="57" spans="1:20" s="362" customFormat="1" x14ac:dyDescent="0.25">
      <c r="A57" s="389"/>
      <c r="B57" s="372"/>
      <c r="C57" s="372"/>
      <c r="D57" s="372"/>
      <c r="E57" s="382"/>
      <c r="F57" s="383"/>
      <c r="G57" s="384"/>
      <c r="H57" s="421"/>
      <c r="I57" s="375"/>
      <c r="J57" s="375"/>
      <c r="K57" s="375"/>
      <c r="L57" s="375">
        <f>Table146[[#This Row],[Green target threshold]]+Table146[[#This Row],[Green target threshold]]*0.5</f>
        <v>0</v>
      </c>
      <c r="M57" s="375"/>
      <c r="N57" s="375"/>
      <c r="O57" s="375"/>
      <c r="P57" s="375"/>
      <c r="Q57" s="375"/>
      <c r="R57" s="375">
        <f>Table146[[#This Row],[Red target threshold]]-Table146[[#This Row],[Red target threshold]]*0.5</f>
        <v>0</v>
      </c>
      <c r="S57" s="375"/>
      <c r="T57" s="399"/>
    </row>
    <row r="58" spans="1:20" s="362" customFormat="1" x14ac:dyDescent="0.25">
      <c r="A58" s="389"/>
      <c r="B58" s="372"/>
      <c r="C58" s="372"/>
      <c r="D58" s="372"/>
      <c r="E58" s="382"/>
      <c r="F58" s="383"/>
      <c r="G58" s="384"/>
      <c r="H58" s="421"/>
      <c r="I58" s="375"/>
      <c r="J58" s="375"/>
      <c r="K58" s="375"/>
      <c r="L58" s="375">
        <f>Table146[[#This Row],[Green target threshold]]+Table146[[#This Row],[Green target threshold]]*0.5</f>
        <v>0</v>
      </c>
      <c r="M58" s="375"/>
      <c r="N58" s="375"/>
      <c r="O58" s="375"/>
      <c r="P58" s="375"/>
      <c r="Q58" s="375"/>
      <c r="R58" s="375">
        <f>Table146[[#This Row],[Red target threshold]]-Table146[[#This Row],[Red target threshold]]*0.5</f>
        <v>0</v>
      </c>
      <c r="S58" s="375"/>
      <c r="T58" s="399"/>
    </row>
    <row r="59" spans="1:20" s="362" customFormat="1" x14ac:dyDescent="0.25">
      <c r="A59" s="389"/>
      <c r="B59" s="372"/>
      <c r="C59" s="372"/>
      <c r="D59" s="372"/>
      <c r="E59" s="382"/>
      <c r="F59" s="383"/>
      <c r="G59" s="384"/>
      <c r="H59" s="421"/>
      <c r="I59" s="375"/>
      <c r="J59" s="375"/>
      <c r="K59" s="375"/>
      <c r="L59" s="431">
        <f>Table146[[#This Row],[Green target threshold]]+Table146[[#This Row],[Green target threshold]]*0.5</f>
        <v>0</v>
      </c>
      <c r="M59" s="375"/>
      <c r="N59" s="375"/>
      <c r="O59" s="375"/>
      <c r="P59" s="431"/>
      <c r="Q59" s="431"/>
      <c r="R59" s="431">
        <f>Table146[[#This Row],[Red target threshold]]-Table146[[#This Row],[Red target threshold]]*0.5</f>
        <v>0</v>
      </c>
      <c r="S59" s="375"/>
      <c r="T59" s="399"/>
    </row>
    <row r="60" spans="1:20" s="362" customFormat="1" x14ac:dyDescent="0.25">
      <c r="A60" s="389"/>
      <c r="B60" s="372"/>
      <c r="C60" s="372"/>
      <c r="D60" s="372"/>
      <c r="E60" s="382"/>
      <c r="F60" s="383"/>
      <c r="G60" s="384"/>
      <c r="H60" s="421"/>
      <c r="I60" s="375"/>
      <c r="J60" s="375"/>
      <c r="K60" s="375"/>
      <c r="L60" s="431">
        <f>Table146[[#This Row],[Green target threshold]]+Table146[[#This Row],[Green target threshold]]*0.5</f>
        <v>0</v>
      </c>
      <c r="M60" s="375"/>
      <c r="N60" s="375"/>
      <c r="O60" s="375"/>
      <c r="P60" s="431"/>
      <c r="Q60" s="431"/>
      <c r="R60" s="431">
        <f>Table146[[#This Row],[Red target threshold]]-Table146[[#This Row],[Red target threshold]]*0.5</f>
        <v>0</v>
      </c>
      <c r="S60" s="375"/>
      <c r="T60" s="399"/>
    </row>
    <row r="61" spans="1:20" s="362" customFormat="1" x14ac:dyDescent="0.25">
      <c r="A61" s="389"/>
      <c r="B61" s="372"/>
      <c r="C61" s="372"/>
      <c r="D61" s="372"/>
      <c r="E61" s="382"/>
      <c r="F61" s="383"/>
      <c r="G61" s="384"/>
      <c r="H61" s="421"/>
      <c r="I61" s="375"/>
      <c r="J61" s="375"/>
      <c r="K61" s="375"/>
      <c r="L61" s="431">
        <f>Table146[[#This Row],[Green target threshold]]+Table146[[#This Row],[Green target threshold]]*0.5</f>
        <v>0</v>
      </c>
      <c r="M61" s="375"/>
      <c r="N61" s="375"/>
      <c r="O61" s="375"/>
      <c r="P61" s="431"/>
      <c r="Q61" s="431"/>
      <c r="R61" s="431">
        <f>Table146[[#This Row],[Red target threshold]]-Table146[[#This Row],[Red target threshold]]*0.5</f>
        <v>0</v>
      </c>
      <c r="S61" s="375"/>
      <c r="T61" s="399"/>
    </row>
    <row r="62" spans="1:20" s="386" customFormat="1" x14ac:dyDescent="0.25">
      <c r="A62" s="409"/>
      <c r="B62" s="406"/>
      <c r="C62" s="406"/>
      <c r="D62" s="406"/>
      <c r="E62" s="407">
        <v>2015</v>
      </c>
      <c r="F62" s="407">
        <v>2016</v>
      </c>
      <c r="G62" s="407">
        <v>2017</v>
      </c>
      <c r="H62" s="407"/>
      <c r="I62" s="407"/>
      <c r="J62" s="407"/>
      <c r="K62" s="407"/>
      <c r="L62" s="407">
        <f>Table146[[#This Row],[Green target threshold]]+Table146[[#This Row],[Green target threshold]]*0.5</f>
        <v>0</v>
      </c>
      <c r="M62" s="407"/>
      <c r="N62" s="407"/>
      <c r="O62" s="407"/>
      <c r="P62" s="407"/>
      <c r="Q62" s="407"/>
      <c r="R62" s="407">
        <f>Table146[[#This Row],[Red target threshold]]-Table146[[#This Row],[Red target threshold]]*0.5</f>
        <v>0</v>
      </c>
      <c r="S62" s="407"/>
      <c r="T62" s="413"/>
    </row>
    <row r="63" spans="1:20" x14ac:dyDescent="0.25">
      <c r="A63" s="418" t="s">
        <v>942</v>
      </c>
      <c r="B63" s="437" t="s">
        <v>1067</v>
      </c>
      <c r="C63" s="437" t="s">
        <v>191</v>
      </c>
      <c r="D63" s="436" t="s">
        <v>904</v>
      </c>
      <c r="E63" s="420">
        <v>0.36919999999999997</v>
      </c>
      <c r="F63" s="420">
        <v>0.36880000000000002</v>
      </c>
      <c r="G63" s="420">
        <v>0.37130000000000002</v>
      </c>
      <c r="H63" s="421">
        <v>2015</v>
      </c>
      <c r="I63" s="421">
        <v>0.36919999999999997</v>
      </c>
      <c r="J63" s="421">
        <v>2015</v>
      </c>
      <c r="K63" s="411">
        <v>0.37740699999999999</v>
      </c>
      <c r="L63" s="411">
        <f>Table146[[#This Row],[Green target threshold]]-Table146[[#This Row],[Green target threshold]]*0.5</f>
        <v>0.14767999999999998</v>
      </c>
      <c r="M63" s="421">
        <f>Table146[[#This Row],[Data reference value]]+Table146[[#This Row],[Data reference value]]*Table146[[#This Row],[Improvement rate]]</f>
        <v>0.29535999999999996</v>
      </c>
      <c r="N63" s="421">
        <v>-0.2</v>
      </c>
      <c r="O63" s="421" t="s">
        <v>1140</v>
      </c>
      <c r="P63" s="421">
        <f>(Table146[[#This Row],[Green target threshold]]-Table146[[#This Row],[Model reference value]])*0.5+Table146[[#This Row],[Model reference value]]</f>
        <v>0.33638349999999995</v>
      </c>
      <c r="Q63" s="421">
        <f>Table146[[#This Row],[Model reference value]]</f>
        <v>0.37740699999999999</v>
      </c>
      <c r="R63" s="421">
        <f>Table146[[#This Row],[Red target threshold]]+Table146[[#This Row],[Red target threshold]]*0.5</f>
        <v>0.56611049999999996</v>
      </c>
      <c r="S63" s="421"/>
      <c r="T63" s="419" t="s">
        <v>869</v>
      </c>
    </row>
    <row r="64" spans="1:20" x14ac:dyDescent="0.25">
      <c r="A64" s="390"/>
      <c r="B64" s="369"/>
      <c r="C64" s="369"/>
      <c r="D64" s="432" t="s">
        <v>1070</v>
      </c>
      <c r="E64" s="379"/>
      <c r="F64" s="380"/>
      <c r="G64" s="381">
        <v>93.66</v>
      </c>
      <c r="H64" s="421"/>
      <c r="I64" s="375"/>
      <c r="J64" s="375"/>
      <c r="K64" s="375"/>
      <c r="L64" s="375">
        <f>Table146[[#This Row],[Green target threshold]]+Table146[[#This Row],[Green target threshold]]*0.5</f>
        <v>0</v>
      </c>
      <c r="M64" s="375"/>
      <c r="N64" s="375"/>
      <c r="O64" s="375"/>
      <c r="P64" s="375"/>
      <c r="Q64" s="375"/>
      <c r="R64" s="375">
        <f>Table146[[#This Row],[Red target threshold]]-Table146[[#This Row],[Red target threshold]]*0.5</f>
        <v>0</v>
      </c>
      <c r="S64" s="375"/>
      <c r="T64" s="396"/>
    </row>
    <row r="65" spans="1:20" x14ac:dyDescent="0.25">
      <c r="A65" s="390"/>
      <c r="B65" s="369"/>
      <c r="C65" s="369"/>
      <c r="D65" s="432" t="s">
        <v>1071</v>
      </c>
      <c r="E65" s="379"/>
      <c r="F65" s="380"/>
      <c r="G65" s="381">
        <v>82.67</v>
      </c>
      <c r="H65" s="421"/>
      <c r="I65" s="375"/>
      <c r="J65" s="375"/>
      <c r="K65" s="375"/>
      <c r="L65" s="375">
        <f>Table146[[#This Row],[Green target threshold]]+Table146[[#This Row],[Green target threshold]]*0.5</f>
        <v>0</v>
      </c>
      <c r="M65" s="375"/>
      <c r="N65" s="375"/>
      <c r="O65" s="375"/>
      <c r="P65" s="375"/>
      <c r="Q65" s="375"/>
      <c r="R65" s="375">
        <f>Table146[[#This Row],[Red target threshold]]-Table146[[#This Row],[Red target threshold]]*0.5</f>
        <v>0</v>
      </c>
      <c r="S65" s="375"/>
      <c r="T65" s="396"/>
    </row>
    <row r="66" spans="1:20" x14ac:dyDescent="0.25">
      <c r="A66" s="390"/>
      <c r="B66" s="369"/>
      <c r="C66" s="369"/>
      <c r="D66" s="432" t="s">
        <v>1072</v>
      </c>
      <c r="E66" s="379"/>
      <c r="F66" s="380"/>
      <c r="G66" s="381">
        <v>80.760000000000005</v>
      </c>
      <c r="H66" s="421"/>
      <c r="I66" s="375"/>
      <c r="J66" s="375"/>
      <c r="K66" s="375"/>
      <c r="L66" s="375">
        <f>Table146[[#This Row],[Green target threshold]]+Table146[[#This Row],[Green target threshold]]*0.5</f>
        <v>0</v>
      </c>
      <c r="M66" s="375"/>
      <c r="N66" s="375"/>
      <c r="O66" s="375"/>
      <c r="P66" s="375"/>
      <c r="Q66" s="375"/>
      <c r="R66" s="375">
        <f>Table146[[#This Row],[Red target threshold]]-Table146[[#This Row],[Red target threshold]]*0.5</f>
        <v>0</v>
      </c>
      <c r="S66" s="375"/>
      <c r="T66" s="396"/>
    </row>
    <row r="67" spans="1:20" x14ac:dyDescent="0.25">
      <c r="A67" s="390"/>
      <c r="B67" s="369"/>
      <c r="C67" s="369"/>
      <c r="D67" s="432" t="s">
        <v>677</v>
      </c>
      <c r="E67" s="379"/>
      <c r="F67" s="380"/>
      <c r="G67" s="381">
        <v>80.38</v>
      </c>
      <c r="H67" s="421"/>
      <c r="I67" s="375"/>
      <c r="J67" s="375"/>
      <c r="K67" s="375"/>
      <c r="L67" s="375">
        <f>Table146[[#This Row],[Green target threshold]]+Table146[[#This Row],[Green target threshold]]*0.5</f>
        <v>0</v>
      </c>
      <c r="M67" s="375"/>
      <c r="N67" s="375"/>
      <c r="O67" s="375"/>
      <c r="P67" s="375"/>
      <c r="Q67" s="375"/>
      <c r="R67" s="375">
        <f>Table146[[#This Row],[Red target threshold]]-Table146[[#This Row],[Red target threshold]]*0.5</f>
        <v>0</v>
      </c>
      <c r="S67" s="375"/>
      <c r="T67" s="396"/>
    </row>
    <row r="68" spans="1:20" x14ac:dyDescent="0.25">
      <c r="A68" s="390"/>
      <c r="B68" s="369"/>
      <c r="C68" s="369"/>
      <c r="D68" s="432" t="s">
        <v>1073</v>
      </c>
      <c r="E68" s="379"/>
      <c r="F68" s="380"/>
      <c r="G68" s="381">
        <v>79.64</v>
      </c>
      <c r="H68" s="421"/>
      <c r="I68" s="375"/>
      <c r="J68" s="375"/>
      <c r="K68" s="375"/>
      <c r="L68" s="375">
        <f>Table146[[#This Row],[Green target threshold]]+Table146[[#This Row],[Green target threshold]]*0.5</f>
        <v>0</v>
      </c>
      <c r="M68" s="375"/>
      <c r="N68" s="375"/>
      <c r="O68" s="375"/>
      <c r="P68" s="375"/>
      <c r="Q68" s="375"/>
      <c r="R68" s="375">
        <f>Table146[[#This Row],[Red target threshold]]-Table146[[#This Row],[Red target threshold]]*0.5</f>
        <v>0</v>
      </c>
      <c r="S68" s="375"/>
      <c r="T68" s="396"/>
    </row>
    <row r="69" spans="1:20" x14ac:dyDescent="0.25">
      <c r="A69" s="390"/>
      <c r="B69" s="369"/>
      <c r="C69" s="369"/>
      <c r="D69" s="432" t="s">
        <v>1074</v>
      </c>
      <c r="E69" s="382"/>
      <c r="F69" s="383"/>
      <c r="G69" s="384">
        <v>0.39</v>
      </c>
      <c r="H69" s="421"/>
      <c r="I69" s="375"/>
      <c r="J69" s="375"/>
      <c r="K69" s="375"/>
      <c r="L69" s="375">
        <f>Table146[[#This Row],[Green target threshold]]+Table146[[#This Row],[Green target threshold]]*0.5</f>
        <v>0</v>
      </c>
      <c r="M69" s="375"/>
      <c r="N69" s="375"/>
      <c r="O69" s="375"/>
      <c r="P69" s="375"/>
      <c r="Q69" s="375"/>
      <c r="R69" s="375">
        <f>Table146[[#This Row],[Red target threshold]]-Table146[[#This Row],[Red target threshold]]*0.5</f>
        <v>0</v>
      </c>
      <c r="S69" s="375"/>
      <c r="T69" s="396"/>
    </row>
    <row r="70" spans="1:20" x14ac:dyDescent="0.25">
      <c r="A70" s="390"/>
      <c r="B70" s="369"/>
      <c r="C70" s="369"/>
      <c r="D70" s="432" t="s">
        <v>1075</v>
      </c>
      <c r="E70" s="382"/>
      <c r="F70" s="383"/>
      <c r="G70" s="384">
        <v>0.56000000000000005</v>
      </c>
      <c r="H70" s="421"/>
      <c r="I70" s="375"/>
      <c r="J70" s="375"/>
      <c r="K70" s="375"/>
      <c r="L70" s="375">
        <f>Table146[[#This Row],[Green target threshold]]+Table146[[#This Row],[Green target threshold]]*0.5</f>
        <v>0</v>
      </c>
      <c r="M70" s="375"/>
      <c r="N70" s="375"/>
      <c r="O70" s="375"/>
      <c r="P70" s="375"/>
      <c r="Q70" s="375"/>
      <c r="R70" s="375">
        <f>Table146[[#This Row],[Red target threshold]]-Table146[[#This Row],[Red target threshold]]*0.5</f>
        <v>0</v>
      </c>
      <c r="S70" s="375"/>
      <c r="T70" s="396"/>
    </row>
    <row r="71" spans="1:20" x14ac:dyDescent="0.25">
      <c r="A71" s="390"/>
      <c r="B71" s="369"/>
      <c r="C71" s="369"/>
      <c r="D71" s="432" t="s">
        <v>1076</v>
      </c>
      <c r="E71" s="382"/>
      <c r="F71" s="383"/>
      <c r="G71" s="384">
        <v>0.59</v>
      </c>
      <c r="H71" s="421"/>
      <c r="I71" s="375"/>
      <c r="J71" s="375"/>
      <c r="K71" s="375"/>
      <c r="L71" s="375">
        <f>Table146[[#This Row],[Green target threshold]]+Table146[[#This Row],[Green target threshold]]*0.5</f>
        <v>0</v>
      </c>
      <c r="M71" s="375"/>
      <c r="N71" s="375"/>
      <c r="O71" s="375"/>
      <c r="P71" s="375"/>
      <c r="Q71" s="375"/>
      <c r="R71" s="375">
        <f>Table146[[#This Row],[Red target threshold]]-Table146[[#This Row],[Red target threshold]]*0.5</f>
        <v>0</v>
      </c>
      <c r="S71" s="375"/>
      <c r="T71" s="396"/>
    </row>
    <row r="72" spans="1:20" x14ac:dyDescent="0.25">
      <c r="A72" s="390"/>
      <c r="B72" s="369"/>
      <c r="C72" s="369"/>
      <c r="D72" s="432" t="s">
        <v>702</v>
      </c>
      <c r="E72" s="382"/>
      <c r="F72" s="383"/>
      <c r="G72" s="384">
        <v>0.93</v>
      </c>
      <c r="H72" s="421"/>
      <c r="I72" s="375"/>
      <c r="J72" s="375"/>
      <c r="K72" s="375"/>
      <c r="L72" s="375">
        <f>Table146[[#This Row],[Green target threshold]]+Table146[[#This Row],[Green target threshold]]*0.5</f>
        <v>0</v>
      </c>
      <c r="M72" s="375"/>
      <c r="N72" s="375"/>
      <c r="O72" s="375"/>
      <c r="P72" s="375"/>
      <c r="Q72" s="375"/>
      <c r="R72" s="375">
        <f>Table146[[#This Row],[Red target threshold]]-Table146[[#This Row],[Red target threshold]]*0.5</f>
        <v>0</v>
      </c>
      <c r="S72" s="375"/>
      <c r="T72" s="396"/>
    </row>
    <row r="73" spans="1:20" x14ac:dyDescent="0.25">
      <c r="A73" s="390"/>
      <c r="B73" s="369"/>
      <c r="C73" s="369"/>
      <c r="D73" s="432" t="s">
        <v>1077</v>
      </c>
      <c r="E73" s="382"/>
      <c r="F73" s="383"/>
      <c r="G73" s="384">
        <v>1.05</v>
      </c>
      <c r="H73" s="421"/>
      <c r="I73" s="375"/>
      <c r="J73" s="375"/>
      <c r="K73" s="375"/>
      <c r="L73" s="375">
        <f>Table146[[#This Row],[Green target threshold]]+Table146[[#This Row],[Green target threshold]]*0.5</f>
        <v>0</v>
      </c>
      <c r="M73" s="375"/>
      <c r="N73" s="375"/>
      <c r="O73" s="375"/>
      <c r="P73" s="375"/>
      <c r="Q73" s="375"/>
      <c r="R73" s="375">
        <f>Table146[[#This Row],[Red target threshold]]-Table146[[#This Row],[Red target threshold]]*0.5</f>
        <v>0</v>
      </c>
      <c r="S73" s="375"/>
      <c r="T73" s="396"/>
    </row>
    <row r="74" spans="1:20" s="387" customFormat="1" x14ac:dyDescent="0.25">
      <c r="A74" s="410"/>
      <c r="B74" s="415"/>
      <c r="C74" s="415"/>
      <c r="D74" s="415"/>
      <c r="E74" s="417">
        <v>2005</v>
      </c>
      <c r="F74" s="417">
        <v>2010</v>
      </c>
      <c r="G74" s="417">
        <v>2020</v>
      </c>
      <c r="H74" s="417"/>
      <c r="I74" s="417"/>
      <c r="J74" s="417"/>
      <c r="K74" s="417"/>
      <c r="L74" s="417">
        <f>Table146[[#This Row],[Green target threshold]]+Table146[[#This Row],[Green target threshold]]*0.5</f>
        <v>0</v>
      </c>
      <c r="M74" s="417"/>
      <c r="N74" s="417"/>
      <c r="O74" s="417"/>
      <c r="P74" s="417"/>
      <c r="Q74" s="417"/>
      <c r="R74" s="417">
        <f>Table146[[#This Row],[Red target threshold]]-Table146[[#This Row],[Red target threshold]]*0.5</f>
        <v>0</v>
      </c>
      <c r="S74" s="417"/>
      <c r="T74" s="412"/>
    </row>
    <row r="75" spans="1:20" s="362" customFormat="1" x14ac:dyDescent="0.25">
      <c r="A75" s="422" t="s">
        <v>967</v>
      </c>
      <c r="B75" s="436" t="s">
        <v>29</v>
      </c>
      <c r="C75" s="436" t="s">
        <v>965</v>
      </c>
      <c r="D75" s="436" t="s">
        <v>1083</v>
      </c>
      <c r="E75" s="420">
        <v>3425.59</v>
      </c>
      <c r="F75" s="420">
        <v>3417.4110000000001</v>
      </c>
      <c r="G75" s="420">
        <v>3419.1779999999999</v>
      </c>
      <c r="H75" s="421">
        <v>2020</v>
      </c>
      <c r="I75" s="421">
        <v>3419.1779999999999</v>
      </c>
      <c r="J75" s="421">
        <v>2015</v>
      </c>
      <c r="K75" s="411">
        <v>3355.47</v>
      </c>
      <c r="L75" s="411">
        <f>Table146[[#This Row],[Green target threshold]]+Table146[[#This Row],[Green target threshold]]*0.5</f>
        <v>4615.8902999999991</v>
      </c>
      <c r="M75" s="421">
        <f>Table146[[#This Row],[Data reference value]]+Table146[[#This Row],[Data reference value]]*Table146[[#This Row],[Improvement rate]]</f>
        <v>3077.2601999999997</v>
      </c>
      <c r="N75" s="421">
        <v>-0.1</v>
      </c>
      <c r="O75" s="421" t="s">
        <v>1140</v>
      </c>
      <c r="P75" s="421">
        <f>(Table146[[#This Row],[Green target threshold]]-Table146[[#This Row],[Model reference value]])*0.5+Table146[[#This Row],[Model reference value]]</f>
        <v>3216.3651</v>
      </c>
      <c r="Q75" s="421">
        <f>Table146[[#This Row],[Model reference value]]</f>
        <v>3355.47</v>
      </c>
      <c r="R75" s="421">
        <f>Table146[[#This Row],[Red target threshold]]-Table146[[#This Row],[Red target threshold]]*0.5</f>
        <v>1677.7349999999999</v>
      </c>
      <c r="S75" s="421" t="s">
        <v>1120</v>
      </c>
      <c r="T75" s="419" t="s">
        <v>979</v>
      </c>
    </row>
    <row r="76" spans="1:20" s="362" customFormat="1" x14ac:dyDescent="0.25">
      <c r="A76" s="389"/>
      <c r="B76" s="372"/>
      <c r="C76" s="372"/>
      <c r="D76" s="372"/>
      <c r="E76" s="379"/>
      <c r="F76" s="380"/>
      <c r="G76" s="381"/>
      <c r="H76" s="421"/>
      <c r="I76" s="375"/>
      <c r="J76" s="375"/>
      <c r="K76" s="375"/>
      <c r="L76" s="375">
        <f>Table146[[#This Row],[Green target threshold]]+Table146[[#This Row],[Green target threshold]]*0.5</f>
        <v>0</v>
      </c>
      <c r="M76" s="375"/>
      <c r="N76" s="375"/>
      <c r="O76" s="375"/>
      <c r="P76" s="375"/>
      <c r="Q76" s="375"/>
      <c r="R76" s="375">
        <f>Table146[[#This Row],[Red target threshold]]-Table146[[#This Row],[Red target threshold]]*0.5</f>
        <v>0</v>
      </c>
      <c r="S76" s="375"/>
      <c r="T76" s="399"/>
    </row>
    <row r="77" spans="1:20" s="362" customFormat="1" x14ac:dyDescent="0.25">
      <c r="A77" s="389"/>
      <c r="B77" s="372"/>
      <c r="C77" s="372"/>
      <c r="D77" s="372"/>
      <c r="E77" s="379"/>
      <c r="F77" s="380"/>
      <c r="G77" s="381"/>
      <c r="H77" s="421"/>
      <c r="I77" s="375"/>
      <c r="J77" s="375"/>
      <c r="K77" s="375"/>
      <c r="L77" s="375">
        <f>Table146[[#This Row],[Green target threshold]]+Table146[[#This Row],[Green target threshold]]*0.5</f>
        <v>0</v>
      </c>
      <c r="M77" s="375"/>
      <c r="N77" s="375"/>
      <c r="O77" s="375"/>
      <c r="P77" s="375"/>
      <c r="Q77" s="375"/>
      <c r="R77" s="375">
        <f>Table146[[#This Row],[Red target threshold]]-Table146[[#This Row],[Red target threshold]]*0.5</f>
        <v>0</v>
      </c>
      <c r="S77" s="375"/>
      <c r="T77" s="399"/>
    </row>
    <row r="78" spans="1:20" s="362" customFormat="1" x14ac:dyDescent="0.25">
      <c r="A78" s="389"/>
      <c r="B78" s="372"/>
      <c r="C78" s="372"/>
      <c r="D78" s="372"/>
      <c r="E78" s="379"/>
      <c r="F78" s="380"/>
      <c r="G78" s="381"/>
      <c r="H78" s="421"/>
      <c r="I78" s="375"/>
      <c r="J78" s="375"/>
      <c r="K78" s="375"/>
      <c r="L78" s="375">
        <f>Table146[[#This Row],[Green target threshold]]+Table146[[#This Row],[Green target threshold]]*0.5</f>
        <v>0</v>
      </c>
      <c r="M78" s="375"/>
      <c r="N78" s="375"/>
      <c r="O78" s="375"/>
      <c r="P78" s="375"/>
      <c r="Q78" s="375"/>
      <c r="R78" s="375">
        <f>Table146[[#This Row],[Red target threshold]]-Table146[[#This Row],[Red target threshold]]*0.5</f>
        <v>0</v>
      </c>
      <c r="S78" s="375"/>
      <c r="T78" s="399"/>
    </row>
    <row r="79" spans="1:20" s="362" customFormat="1" x14ac:dyDescent="0.25">
      <c r="A79" s="389"/>
      <c r="B79" s="372"/>
      <c r="C79" s="372"/>
      <c r="D79" s="372"/>
      <c r="E79" s="379"/>
      <c r="F79" s="380"/>
      <c r="G79" s="381"/>
      <c r="H79" s="421"/>
      <c r="I79" s="375"/>
      <c r="J79" s="375"/>
      <c r="K79" s="375"/>
      <c r="L79" s="431">
        <f>Table146[[#This Row],[Green target threshold]]+Table146[[#This Row],[Green target threshold]]*0.5</f>
        <v>0</v>
      </c>
      <c r="M79" s="375"/>
      <c r="N79" s="375"/>
      <c r="O79" s="375"/>
      <c r="P79" s="431"/>
      <c r="Q79" s="431"/>
      <c r="R79" s="431">
        <f>Table146[[#This Row],[Red target threshold]]-Table146[[#This Row],[Red target threshold]]*0.5</f>
        <v>0</v>
      </c>
      <c r="S79" s="375"/>
      <c r="T79" s="399"/>
    </row>
    <row r="80" spans="1:20" s="362" customFormat="1" x14ac:dyDescent="0.25">
      <c r="A80" s="389"/>
      <c r="B80" s="372"/>
      <c r="C80" s="372"/>
      <c r="D80" s="372"/>
      <c r="E80" s="379"/>
      <c r="F80" s="380"/>
      <c r="G80" s="381"/>
      <c r="H80" s="421"/>
      <c r="I80" s="375"/>
      <c r="J80" s="375"/>
      <c r="K80" s="375"/>
      <c r="L80" s="431">
        <f>Table146[[#This Row],[Green target threshold]]+Table146[[#This Row],[Green target threshold]]*0.5</f>
        <v>0</v>
      </c>
      <c r="M80" s="375"/>
      <c r="N80" s="375"/>
      <c r="O80" s="375"/>
      <c r="P80" s="431"/>
      <c r="Q80" s="431"/>
      <c r="R80" s="431">
        <f>Table146[[#This Row],[Red target threshold]]-Table146[[#This Row],[Red target threshold]]*0.5</f>
        <v>0</v>
      </c>
      <c r="S80" s="375"/>
      <c r="T80" s="399"/>
    </row>
    <row r="81" spans="1:20" s="362" customFormat="1" x14ac:dyDescent="0.25">
      <c r="A81" s="389"/>
      <c r="B81" s="372"/>
      <c r="C81" s="372"/>
      <c r="D81" s="372"/>
      <c r="E81" s="382"/>
      <c r="F81" s="383"/>
      <c r="G81" s="384"/>
      <c r="H81" s="421"/>
      <c r="I81" s="375"/>
      <c r="J81" s="375"/>
      <c r="K81" s="375"/>
      <c r="L81" s="375">
        <f>Table146[[#This Row],[Green target threshold]]+Table146[[#This Row],[Green target threshold]]*0.5</f>
        <v>0</v>
      </c>
      <c r="M81" s="375"/>
      <c r="N81" s="375"/>
      <c r="O81" s="375"/>
      <c r="P81" s="375"/>
      <c r="Q81" s="375"/>
      <c r="R81" s="375">
        <f>Table146[[#This Row],[Red target threshold]]-Table146[[#This Row],[Red target threshold]]*0.5</f>
        <v>0</v>
      </c>
      <c r="S81" s="375"/>
      <c r="T81" s="399"/>
    </row>
    <row r="82" spans="1:20" s="362" customFormat="1" x14ac:dyDescent="0.25">
      <c r="A82" s="389"/>
      <c r="B82" s="372"/>
      <c r="C82" s="372"/>
      <c r="D82" s="372"/>
      <c r="E82" s="382"/>
      <c r="F82" s="383"/>
      <c r="G82" s="384"/>
      <c r="H82" s="421"/>
      <c r="I82" s="375"/>
      <c r="J82" s="375"/>
      <c r="K82" s="375"/>
      <c r="L82" s="375">
        <f>Table146[[#This Row],[Green target threshold]]+Table146[[#This Row],[Green target threshold]]*0.5</f>
        <v>0</v>
      </c>
      <c r="M82" s="375"/>
      <c r="N82" s="375"/>
      <c r="O82" s="375"/>
      <c r="P82" s="375"/>
      <c r="Q82" s="375"/>
      <c r="R82" s="375">
        <f>Table146[[#This Row],[Red target threshold]]-Table146[[#This Row],[Red target threshold]]*0.5</f>
        <v>0</v>
      </c>
      <c r="S82" s="375"/>
      <c r="T82" s="399"/>
    </row>
    <row r="83" spans="1:20" s="362" customFormat="1" x14ac:dyDescent="0.25">
      <c r="A83" s="389"/>
      <c r="B83" s="372"/>
      <c r="C83" s="372"/>
      <c r="D83" s="372"/>
      <c r="E83" s="382"/>
      <c r="F83" s="383"/>
      <c r="G83" s="384"/>
      <c r="H83" s="421"/>
      <c r="I83" s="375"/>
      <c r="J83" s="375"/>
      <c r="K83" s="375"/>
      <c r="L83" s="431">
        <f>Table146[[#This Row],[Green target threshold]]+Table146[[#This Row],[Green target threshold]]*0.5</f>
        <v>0</v>
      </c>
      <c r="M83" s="375"/>
      <c r="N83" s="375"/>
      <c r="O83" s="375"/>
      <c r="P83" s="431"/>
      <c r="Q83" s="431"/>
      <c r="R83" s="431">
        <f>Table146[[#This Row],[Red target threshold]]-Table146[[#This Row],[Red target threshold]]*0.5</f>
        <v>0</v>
      </c>
      <c r="S83" s="375"/>
      <c r="T83" s="399"/>
    </row>
    <row r="84" spans="1:20" s="362" customFormat="1" x14ac:dyDescent="0.25">
      <c r="A84" s="389"/>
      <c r="B84" s="372"/>
      <c r="C84" s="372"/>
      <c r="D84" s="372"/>
      <c r="E84" s="382"/>
      <c r="F84" s="383"/>
      <c r="G84" s="384"/>
      <c r="H84" s="421"/>
      <c r="I84" s="375"/>
      <c r="J84" s="375"/>
      <c r="K84" s="375"/>
      <c r="L84" s="431">
        <f>Table146[[#This Row],[Green target threshold]]+Table146[[#This Row],[Green target threshold]]*0.5</f>
        <v>0</v>
      </c>
      <c r="M84" s="375"/>
      <c r="N84" s="375"/>
      <c r="O84" s="375"/>
      <c r="P84" s="431"/>
      <c r="Q84" s="431"/>
      <c r="R84" s="431">
        <f>Table146[[#This Row],[Red target threshold]]-Table146[[#This Row],[Red target threshold]]*0.5</f>
        <v>0</v>
      </c>
      <c r="S84" s="375"/>
      <c r="T84" s="399"/>
    </row>
    <row r="85" spans="1:20" s="362" customFormat="1" x14ac:dyDescent="0.25">
      <c r="A85" s="389"/>
      <c r="B85" s="372"/>
      <c r="C85" s="372"/>
      <c r="D85" s="372"/>
      <c r="E85" s="382"/>
      <c r="F85" s="383"/>
      <c r="G85" s="384"/>
      <c r="H85" s="421"/>
      <c r="I85" s="375"/>
      <c r="J85" s="375"/>
      <c r="K85" s="375"/>
      <c r="L85" s="431">
        <f>Table146[[#This Row],[Green target threshold]]+Table146[[#This Row],[Green target threshold]]*0.5</f>
        <v>0</v>
      </c>
      <c r="M85" s="375"/>
      <c r="N85" s="375"/>
      <c r="O85" s="375"/>
      <c r="P85" s="431"/>
      <c r="Q85" s="431"/>
      <c r="R85" s="431">
        <f>Table146[[#This Row],[Red target threshold]]-Table146[[#This Row],[Red target threshold]]*0.5</f>
        <v>0</v>
      </c>
      <c r="S85" s="375"/>
      <c r="T85" s="399"/>
    </row>
    <row r="86" spans="1:20" s="387" customFormat="1" x14ac:dyDescent="0.25">
      <c r="A86" s="410"/>
      <c r="B86" s="415"/>
      <c r="C86" s="415"/>
      <c r="D86" s="415"/>
      <c r="E86" s="417">
        <v>2005</v>
      </c>
      <c r="F86" s="417">
        <v>2010</v>
      </c>
      <c r="G86" s="417">
        <v>2020</v>
      </c>
      <c r="H86" s="417"/>
      <c r="I86" s="417"/>
      <c r="J86" s="417"/>
      <c r="K86" s="417"/>
      <c r="L86" s="417">
        <f>Table146[[#This Row],[Green target threshold]]+Table146[[#This Row],[Green target threshold]]*0.5</f>
        <v>0</v>
      </c>
      <c r="M86" s="417"/>
      <c r="N86" s="417"/>
      <c r="O86" s="417"/>
      <c r="P86" s="417"/>
      <c r="Q86" s="417"/>
      <c r="R86" s="417">
        <f>Table146[[#This Row],[Red target threshold]]-Table146[[#This Row],[Red target threshold]]*0.5</f>
        <v>0</v>
      </c>
      <c r="S86" s="417"/>
      <c r="T86" s="412"/>
    </row>
    <row r="87" spans="1:20" s="362" customFormat="1" x14ac:dyDescent="0.25">
      <c r="A87" s="418" t="s">
        <v>968</v>
      </c>
      <c r="B87" s="436" t="s">
        <v>27</v>
      </c>
      <c r="C87" s="437" t="s">
        <v>965</v>
      </c>
      <c r="D87" s="436" t="s">
        <v>1083</v>
      </c>
      <c r="E87" s="420">
        <v>1536.067</v>
      </c>
      <c r="F87" s="420">
        <v>1546.1590000000001</v>
      </c>
      <c r="G87" s="420">
        <v>1618.385</v>
      </c>
      <c r="H87" s="421">
        <v>2020</v>
      </c>
      <c r="I87" s="421">
        <v>1618.385</v>
      </c>
      <c r="J87" s="421">
        <v>2015</v>
      </c>
      <c r="K87" s="411">
        <v>1514.59</v>
      </c>
      <c r="L87" s="411">
        <f>Table146[[#This Row],[Green target threshold]]+Table146[[#This Row],[Green target threshold]]*0.5</f>
        <v>1942.0620000000001</v>
      </c>
      <c r="M87" s="421">
        <f>Table146[[#This Row],[Data reference value]]+Table146[[#This Row],[Data reference value]]*Table146[[#This Row],[Improvement rate]]</f>
        <v>1294.7080000000001</v>
      </c>
      <c r="N87" s="421">
        <v>-0.2</v>
      </c>
      <c r="O87" s="421" t="s">
        <v>1140</v>
      </c>
      <c r="P87" s="421">
        <f>(Table146[[#This Row],[Green target threshold]]-Table146[[#This Row],[Model reference value]])*0.5+Table146[[#This Row],[Model reference value]]</f>
        <v>1404.6489999999999</v>
      </c>
      <c r="Q87" s="421">
        <f>Table146[[#This Row],[Model reference value]]</f>
        <v>1514.59</v>
      </c>
      <c r="R87" s="421">
        <f>Table146[[#This Row],[Red target threshold]]-Table146[[#This Row],[Red target threshold]]*0.5</f>
        <v>757.29499999999996</v>
      </c>
      <c r="S87" s="421" t="s">
        <v>1120</v>
      </c>
      <c r="T87" s="419" t="s">
        <v>979</v>
      </c>
    </row>
    <row r="88" spans="1:20" s="362" customFormat="1" x14ac:dyDescent="0.25">
      <c r="A88" s="389"/>
      <c r="B88" s="372"/>
      <c r="C88" s="372"/>
      <c r="D88" s="372"/>
      <c r="E88" s="379"/>
      <c r="F88" s="380"/>
      <c r="G88" s="381"/>
      <c r="H88" s="421"/>
      <c r="I88" s="375"/>
      <c r="J88" s="375"/>
      <c r="K88" s="375"/>
      <c r="L88" s="375">
        <f>Table146[[#This Row],[Green target threshold]]+Table146[[#This Row],[Green target threshold]]*0.5</f>
        <v>0</v>
      </c>
      <c r="M88" s="375"/>
      <c r="N88" s="375"/>
      <c r="O88" s="375"/>
      <c r="P88" s="375"/>
      <c r="Q88" s="375"/>
      <c r="R88" s="375">
        <f>Table146[[#This Row],[Red target threshold]]-Table146[[#This Row],[Red target threshold]]*0.5</f>
        <v>0</v>
      </c>
      <c r="S88" s="375"/>
      <c r="T88" s="399"/>
    </row>
    <row r="89" spans="1:20" s="362" customFormat="1" x14ac:dyDescent="0.25">
      <c r="A89" s="389"/>
      <c r="B89" s="372"/>
      <c r="C89" s="372"/>
      <c r="D89" s="372"/>
      <c r="E89" s="379"/>
      <c r="F89" s="380"/>
      <c r="G89" s="381"/>
      <c r="H89" s="421"/>
      <c r="I89" s="375"/>
      <c r="J89" s="375"/>
      <c r="K89" s="375"/>
      <c r="L89" s="375">
        <f>Table146[[#This Row],[Green target threshold]]+Table146[[#This Row],[Green target threshold]]*0.5</f>
        <v>0</v>
      </c>
      <c r="M89" s="375"/>
      <c r="N89" s="375"/>
      <c r="O89" s="375"/>
      <c r="P89" s="375"/>
      <c r="Q89" s="375"/>
      <c r="R89" s="375">
        <f>Table146[[#This Row],[Red target threshold]]-Table146[[#This Row],[Red target threshold]]*0.5</f>
        <v>0</v>
      </c>
      <c r="S89" s="375"/>
      <c r="T89" s="399"/>
    </row>
    <row r="90" spans="1:20" s="362" customFormat="1" x14ac:dyDescent="0.25">
      <c r="A90" s="389"/>
      <c r="B90" s="372"/>
      <c r="C90" s="372"/>
      <c r="D90" s="372"/>
      <c r="E90" s="379"/>
      <c r="F90" s="380"/>
      <c r="G90" s="381"/>
      <c r="H90" s="421"/>
      <c r="I90" s="375"/>
      <c r="J90" s="375"/>
      <c r="K90" s="375"/>
      <c r="L90" s="375">
        <f>Table146[[#This Row],[Green target threshold]]+Table146[[#This Row],[Green target threshold]]*0.5</f>
        <v>0</v>
      </c>
      <c r="M90" s="375"/>
      <c r="N90" s="375"/>
      <c r="O90" s="375"/>
      <c r="P90" s="375"/>
      <c r="Q90" s="375"/>
      <c r="R90" s="375">
        <f>Table146[[#This Row],[Red target threshold]]-Table146[[#This Row],[Red target threshold]]*0.5</f>
        <v>0</v>
      </c>
      <c r="S90" s="375"/>
      <c r="T90" s="399"/>
    </row>
    <row r="91" spans="1:20" s="362" customFormat="1" x14ac:dyDescent="0.25">
      <c r="A91" s="389"/>
      <c r="B91" s="372"/>
      <c r="C91" s="372"/>
      <c r="D91" s="372"/>
      <c r="E91" s="379"/>
      <c r="F91" s="380"/>
      <c r="G91" s="381"/>
      <c r="H91" s="421"/>
      <c r="I91" s="375"/>
      <c r="J91" s="375"/>
      <c r="K91" s="375"/>
      <c r="L91" s="431">
        <f>Table146[[#This Row],[Green target threshold]]+Table146[[#This Row],[Green target threshold]]*0.5</f>
        <v>0</v>
      </c>
      <c r="M91" s="375"/>
      <c r="N91" s="375"/>
      <c r="O91" s="375"/>
      <c r="P91" s="431"/>
      <c r="Q91" s="431"/>
      <c r="R91" s="431">
        <f>Table146[[#This Row],[Red target threshold]]-Table146[[#This Row],[Red target threshold]]*0.5</f>
        <v>0</v>
      </c>
      <c r="S91" s="375"/>
      <c r="T91" s="399"/>
    </row>
    <row r="92" spans="1:20" s="362" customFormat="1" x14ac:dyDescent="0.25">
      <c r="A92" s="389"/>
      <c r="B92" s="372"/>
      <c r="C92" s="372"/>
      <c r="D92" s="372"/>
      <c r="E92" s="379"/>
      <c r="F92" s="380"/>
      <c r="G92" s="381"/>
      <c r="H92" s="421"/>
      <c r="I92" s="375"/>
      <c r="J92" s="375"/>
      <c r="K92" s="375"/>
      <c r="L92" s="431">
        <f>Table146[[#This Row],[Green target threshold]]+Table146[[#This Row],[Green target threshold]]*0.5</f>
        <v>0</v>
      </c>
      <c r="M92" s="375"/>
      <c r="N92" s="375"/>
      <c r="O92" s="375"/>
      <c r="P92" s="431"/>
      <c r="Q92" s="431"/>
      <c r="R92" s="431">
        <f>Table146[[#This Row],[Red target threshold]]-Table146[[#This Row],[Red target threshold]]*0.5</f>
        <v>0</v>
      </c>
      <c r="S92" s="375"/>
      <c r="T92" s="399"/>
    </row>
    <row r="93" spans="1:20" s="362" customFormat="1" x14ac:dyDescent="0.25">
      <c r="A93" s="389"/>
      <c r="B93" s="372"/>
      <c r="C93" s="372"/>
      <c r="D93" s="372"/>
      <c r="E93" s="382"/>
      <c r="F93" s="383"/>
      <c r="G93" s="384"/>
      <c r="H93" s="421"/>
      <c r="I93" s="375"/>
      <c r="J93" s="375"/>
      <c r="K93" s="375"/>
      <c r="L93" s="375">
        <f>Table146[[#This Row],[Green target threshold]]+Table146[[#This Row],[Green target threshold]]*0.5</f>
        <v>0</v>
      </c>
      <c r="M93" s="375"/>
      <c r="N93" s="375"/>
      <c r="O93" s="375"/>
      <c r="P93" s="375"/>
      <c r="Q93" s="375"/>
      <c r="R93" s="375">
        <f>Table146[[#This Row],[Red target threshold]]-Table146[[#This Row],[Red target threshold]]*0.5</f>
        <v>0</v>
      </c>
      <c r="S93" s="375"/>
      <c r="T93" s="399"/>
    </row>
    <row r="94" spans="1:20" s="362" customFormat="1" x14ac:dyDescent="0.25">
      <c r="A94" s="389"/>
      <c r="B94" s="372"/>
      <c r="C94" s="372"/>
      <c r="D94" s="372"/>
      <c r="E94" s="382"/>
      <c r="F94" s="383"/>
      <c r="G94" s="384"/>
      <c r="H94" s="421"/>
      <c r="I94" s="375"/>
      <c r="J94" s="375"/>
      <c r="K94" s="375"/>
      <c r="L94" s="375">
        <f>Table146[[#This Row],[Green target threshold]]+Table146[[#This Row],[Green target threshold]]*0.5</f>
        <v>0</v>
      </c>
      <c r="M94" s="375"/>
      <c r="N94" s="375"/>
      <c r="O94" s="375"/>
      <c r="P94" s="375"/>
      <c r="Q94" s="375"/>
      <c r="R94" s="375">
        <f>Table146[[#This Row],[Red target threshold]]-Table146[[#This Row],[Red target threshold]]*0.5</f>
        <v>0</v>
      </c>
      <c r="S94" s="375"/>
      <c r="T94" s="399"/>
    </row>
    <row r="95" spans="1:20" s="362" customFormat="1" x14ac:dyDescent="0.25">
      <c r="A95" s="389"/>
      <c r="B95" s="372"/>
      <c r="C95" s="372"/>
      <c r="D95" s="372"/>
      <c r="E95" s="382"/>
      <c r="F95" s="383"/>
      <c r="G95" s="384"/>
      <c r="H95" s="421"/>
      <c r="I95" s="375"/>
      <c r="J95" s="375"/>
      <c r="K95" s="375"/>
      <c r="L95" s="431">
        <f>Table146[[#This Row],[Green target threshold]]+Table146[[#This Row],[Green target threshold]]*0.5</f>
        <v>0</v>
      </c>
      <c r="M95" s="375"/>
      <c r="N95" s="375"/>
      <c r="O95" s="375"/>
      <c r="P95" s="431"/>
      <c r="Q95" s="431"/>
      <c r="R95" s="431">
        <f>Table146[[#This Row],[Red target threshold]]-Table146[[#This Row],[Red target threshold]]*0.5</f>
        <v>0</v>
      </c>
      <c r="S95" s="375"/>
      <c r="T95" s="399"/>
    </row>
    <row r="96" spans="1:20" s="362" customFormat="1" x14ac:dyDescent="0.25">
      <c r="A96" s="389"/>
      <c r="B96" s="372"/>
      <c r="C96" s="372"/>
      <c r="D96" s="372"/>
      <c r="E96" s="382"/>
      <c r="F96" s="383"/>
      <c r="G96" s="384"/>
      <c r="H96" s="421"/>
      <c r="I96" s="375"/>
      <c r="J96" s="375"/>
      <c r="K96" s="375"/>
      <c r="L96" s="431">
        <f>Table146[[#This Row],[Green target threshold]]+Table146[[#This Row],[Green target threshold]]*0.5</f>
        <v>0</v>
      </c>
      <c r="M96" s="375"/>
      <c r="N96" s="375"/>
      <c r="O96" s="375"/>
      <c r="P96" s="431"/>
      <c r="Q96" s="431"/>
      <c r="R96" s="431">
        <f>Table146[[#This Row],[Red target threshold]]-Table146[[#This Row],[Red target threshold]]*0.5</f>
        <v>0</v>
      </c>
      <c r="S96" s="375"/>
      <c r="T96" s="399"/>
    </row>
    <row r="97" spans="1:20" s="362" customFormat="1" x14ac:dyDescent="0.25">
      <c r="A97" s="389"/>
      <c r="B97" s="372"/>
      <c r="C97" s="372"/>
      <c r="D97" s="372"/>
      <c r="E97" s="382"/>
      <c r="F97" s="383"/>
      <c r="G97" s="384"/>
      <c r="H97" s="421"/>
      <c r="I97" s="375"/>
      <c r="J97" s="375"/>
      <c r="K97" s="375"/>
      <c r="L97" s="431">
        <f>Table146[[#This Row],[Green target threshold]]+Table146[[#This Row],[Green target threshold]]*0.5</f>
        <v>0</v>
      </c>
      <c r="M97" s="375"/>
      <c r="N97" s="375"/>
      <c r="O97" s="375"/>
      <c r="P97" s="431"/>
      <c r="Q97" s="431"/>
      <c r="R97" s="431">
        <f>Table146[[#This Row],[Red target threshold]]-Table146[[#This Row],[Red target threshold]]*0.5</f>
        <v>0</v>
      </c>
      <c r="S97" s="375"/>
      <c r="T97" s="399"/>
    </row>
    <row r="98" spans="1:20" s="386" customFormat="1" x14ac:dyDescent="0.25">
      <c r="A98" s="409"/>
      <c r="B98" s="406"/>
      <c r="C98" s="406"/>
      <c r="D98" s="406"/>
      <c r="E98" s="407">
        <v>2016</v>
      </c>
      <c r="F98" s="407">
        <v>2017</v>
      </c>
      <c r="G98" s="407">
        <v>2018</v>
      </c>
      <c r="H98" s="407"/>
      <c r="I98" s="407"/>
      <c r="J98" s="407"/>
      <c r="K98" s="407"/>
      <c r="L98" s="407">
        <f>Table146[[#This Row],[Green target threshold]]+Table146[[#This Row],[Green target threshold]]*0.5</f>
        <v>0</v>
      </c>
      <c r="M98" s="407"/>
      <c r="N98" s="407"/>
      <c r="O98" s="407"/>
      <c r="P98" s="407"/>
      <c r="Q98" s="407"/>
      <c r="R98" s="407">
        <f>Table146[[#This Row],[Red target threshold]]-Table146[[#This Row],[Red target threshold]]*0.5</f>
        <v>0</v>
      </c>
      <c r="S98" s="407"/>
      <c r="T98" s="413"/>
    </row>
    <row r="99" spans="1:20" x14ac:dyDescent="0.25">
      <c r="A99" s="418" t="s">
        <v>549</v>
      </c>
      <c r="B99" s="437" t="s">
        <v>547</v>
      </c>
      <c r="C99" s="437" t="s">
        <v>219</v>
      </c>
      <c r="D99" s="436" t="s">
        <v>904</v>
      </c>
      <c r="E99" s="420">
        <v>72.180484340000007</v>
      </c>
      <c r="F99" s="420">
        <v>72.385296440000005</v>
      </c>
      <c r="G99" s="420">
        <v>72.560055829999996</v>
      </c>
      <c r="H99" s="421">
        <v>2016</v>
      </c>
      <c r="I99" s="421">
        <v>72.180484340000007</v>
      </c>
      <c r="J99" s="421">
        <v>2015</v>
      </c>
      <c r="K99" s="411">
        <v>68.372799999999998</v>
      </c>
      <c r="L99" s="411">
        <f>Table146[[#This Row],[Green target threshold]]+Table146[[#This Row],[Green target threshold]]*0.5</f>
        <v>125.75304877799999</v>
      </c>
      <c r="M99" s="421">
        <f>AVERAGE(G100:G104)</f>
        <v>83.835365851999995</v>
      </c>
      <c r="N99" s="421"/>
      <c r="O99" s="421" t="s">
        <v>978</v>
      </c>
      <c r="P99" s="421">
        <f>(M99-K99)*0.5+K99</f>
        <v>76.10408292599999</v>
      </c>
      <c r="Q99" s="421">
        <f>K99</f>
        <v>68.372799999999998</v>
      </c>
      <c r="R99" s="421">
        <f>Table146[[#This Row],[Red target threshold]]-Table146[[#This Row],[Red target threshold]]*0.5</f>
        <v>34.186399999999999</v>
      </c>
      <c r="S99" s="421"/>
      <c r="T99" s="419" t="s">
        <v>714</v>
      </c>
    </row>
    <row r="100" spans="1:20" x14ac:dyDescent="0.25">
      <c r="A100" s="390"/>
      <c r="B100" s="369"/>
      <c r="C100" s="369"/>
      <c r="D100" s="369" t="s">
        <v>708</v>
      </c>
      <c r="E100" s="379">
        <v>84.226829269999996</v>
      </c>
      <c r="F100" s="380">
        <v>84.680487799999995</v>
      </c>
      <c r="G100" s="381">
        <v>84.934146339999998</v>
      </c>
      <c r="H100" s="421"/>
      <c r="I100" s="375"/>
      <c r="J100" s="375"/>
      <c r="K100" s="375"/>
      <c r="L100" s="375">
        <f>Table146[[#This Row],[Green target threshold]]+Table146[[#This Row],[Green target threshold]]*0.5</f>
        <v>0</v>
      </c>
      <c r="M100" s="375"/>
      <c r="N100" s="375"/>
      <c r="O100" s="375"/>
      <c r="P100" s="375"/>
      <c r="Q100" s="375"/>
      <c r="R100" s="375">
        <f>Table146[[#This Row],[Red target threshold]]-Table146[[#This Row],[Red target threshold]]*0.5</f>
        <v>0</v>
      </c>
      <c r="S100" s="375"/>
      <c r="T100" s="396"/>
    </row>
    <row r="101" spans="1:20" x14ac:dyDescent="0.25">
      <c r="A101" s="390"/>
      <c r="B101" s="369"/>
      <c r="C101" s="369"/>
      <c r="D101" s="369" t="s">
        <v>715</v>
      </c>
      <c r="E101" s="379">
        <v>83.984878050000006</v>
      </c>
      <c r="F101" s="380">
        <v>84.099756099999993</v>
      </c>
      <c r="G101" s="381">
        <v>84.210975610000006</v>
      </c>
      <c r="H101" s="421"/>
      <c r="I101" s="375"/>
      <c r="J101" s="375"/>
      <c r="K101" s="375"/>
      <c r="L101" s="375">
        <f>Table146[[#This Row],[Green target threshold]]+Table146[[#This Row],[Green target threshold]]*0.5</f>
        <v>0</v>
      </c>
      <c r="M101" s="375"/>
      <c r="N101" s="375"/>
      <c r="O101" s="375"/>
      <c r="P101" s="375"/>
      <c r="Q101" s="375"/>
      <c r="R101" s="375">
        <f>Table146[[#This Row],[Red target threshold]]-Table146[[#This Row],[Red target threshold]]*0.5</f>
        <v>0</v>
      </c>
      <c r="S101" s="375"/>
      <c r="T101" s="396"/>
    </row>
    <row r="102" spans="1:20" x14ac:dyDescent="0.25">
      <c r="A102" s="390"/>
      <c r="B102" s="369"/>
      <c r="C102" s="369"/>
      <c r="D102" s="369" t="s">
        <v>700</v>
      </c>
      <c r="E102" s="379">
        <v>83.602439020000006</v>
      </c>
      <c r="F102" s="380">
        <v>83.551219509999996</v>
      </c>
      <c r="G102" s="381">
        <v>83.551219509999996</v>
      </c>
      <c r="H102" s="421"/>
      <c r="I102" s="375"/>
      <c r="J102" s="375"/>
      <c r="K102" s="375"/>
      <c r="L102" s="375">
        <f>Table146[[#This Row],[Green target threshold]]+Table146[[#This Row],[Green target threshold]]*0.5</f>
        <v>0</v>
      </c>
      <c r="M102" s="375"/>
      <c r="N102" s="375"/>
      <c r="O102" s="375"/>
      <c r="P102" s="375"/>
      <c r="Q102" s="375"/>
      <c r="R102" s="375">
        <f>Table146[[#This Row],[Red target threshold]]-Table146[[#This Row],[Red target threshold]]*0.5</f>
        <v>0</v>
      </c>
      <c r="S102" s="375"/>
      <c r="T102" s="396"/>
    </row>
    <row r="103" spans="1:20" x14ac:dyDescent="0.25">
      <c r="A103" s="390"/>
      <c r="B103" s="369"/>
      <c r="C103" s="369"/>
      <c r="D103" s="369" t="s">
        <v>716</v>
      </c>
      <c r="E103" s="379">
        <v>83.329268290000002</v>
      </c>
      <c r="F103" s="380">
        <v>83.282926829999994</v>
      </c>
      <c r="G103" s="381">
        <v>83.334146340000004</v>
      </c>
      <c r="H103" s="421"/>
      <c r="I103" s="375"/>
      <c r="J103" s="375"/>
      <c r="K103" s="375"/>
      <c r="L103" s="375">
        <f>Table146[[#This Row],[Green target threshold]]+Table146[[#This Row],[Green target threshold]]*0.5</f>
        <v>0</v>
      </c>
      <c r="M103" s="375"/>
      <c r="N103" s="375"/>
      <c r="O103" s="375"/>
      <c r="P103" s="375"/>
      <c r="Q103" s="375"/>
      <c r="R103" s="375">
        <f>Table146[[#This Row],[Red target threshold]]-Table146[[#This Row],[Red target threshold]]*0.5</f>
        <v>0</v>
      </c>
      <c r="S103" s="375"/>
      <c r="T103" s="396"/>
    </row>
    <row r="104" spans="1:20" x14ac:dyDescent="0.25">
      <c r="A104" s="390"/>
      <c r="B104" s="369"/>
      <c r="C104" s="369"/>
      <c r="D104" s="369" t="s">
        <v>702</v>
      </c>
      <c r="E104" s="379">
        <v>82.846341460000005</v>
      </c>
      <c r="F104" s="380">
        <v>83.095121950000006</v>
      </c>
      <c r="G104" s="381">
        <v>83.146341460000002</v>
      </c>
      <c r="H104" s="421"/>
      <c r="I104" s="375"/>
      <c r="J104" s="375"/>
      <c r="K104" s="375"/>
      <c r="L104" s="375">
        <f>Table146[[#This Row],[Green target threshold]]+Table146[[#This Row],[Green target threshold]]*0.5</f>
        <v>0</v>
      </c>
      <c r="M104" s="375"/>
      <c r="N104" s="375"/>
      <c r="O104" s="375"/>
      <c r="P104" s="375"/>
      <c r="Q104" s="375"/>
      <c r="R104" s="375">
        <f>Table146[[#This Row],[Red target threshold]]-Table146[[#This Row],[Red target threshold]]*0.5</f>
        <v>0</v>
      </c>
      <c r="S104" s="375"/>
      <c r="T104" s="396"/>
    </row>
    <row r="105" spans="1:20" x14ac:dyDescent="0.25">
      <c r="A105" s="390"/>
      <c r="B105" s="369"/>
      <c r="C105" s="369"/>
      <c r="D105" s="369" t="s">
        <v>711</v>
      </c>
      <c r="E105" s="382">
        <v>53.438000000000002</v>
      </c>
      <c r="F105" s="383">
        <v>53.712000000000003</v>
      </c>
      <c r="G105" s="384">
        <v>53.976999999999997</v>
      </c>
      <c r="H105" s="421"/>
      <c r="I105" s="375"/>
      <c r="J105" s="375"/>
      <c r="K105" s="375"/>
      <c r="L105" s="375">
        <f>Table146[[#This Row],[Green target threshold]]+Table146[[#This Row],[Green target threshold]]*0.5</f>
        <v>0</v>
      </c>
      <c r="M105" s="375"/>
      <c r="N105" s="375"/>
      <c r="O105" s="375"/>
      <c r="P105" s="375"/>
      <c r="Q105" s="375"/>
      <c r="R105" s="375">
        <f>Table146[[#This Row],[Red target threshold]]-Table146[[#This Row],[Red target threshold]]*0.5</f>
        <v>0</v>
      </c>
      <c r="S105" s="375"/>
      <c r="T105" s="396"/>
    </row>
    <row r="106" spans="1:20" x14ac:dyDescent="0.25">
      <c r="A106" s="390"/>
      <c r="B106" s="369"/>
      <c r="C106" s="369"/>
      <c r="D106" s="369" t="s">
        <v>705</v>
      </c>
      <c r="E106" s="382">
        <v>53.444000000000003</v>
      </c>
      <c r="F106" s="383">
        <v>53.895000000000003</v>
      </c>
      <c r="G106" s="384">
        <v>54.308999999999997</v>
      </c>
      <c r="H106" s="421"/>
      <c r="I106" s="375"/>
      <c r="J106" s="375"/>
      <c r="K106" s="375"/>
      <c r="L106" s="375">
        <f>Table146[[#This Row],[Green target threshold]]+Table146[[#This Row],[Green target threshold]]*0.5</f>
        <v>0</v>
      </c>
      <c r="M106" s="375"/>
      <c r="N106" s="375"/>
      <c r="O106" s="375"/>
      <c r="P106" s="375"/>
      <c r="Q106" s="375"/>
      <c r="R106" s="375">
        <f>Table146[[#This Row],[Red target threshold]]-Table146[[#This Row],[Red target threshold]]*0.5</f>
        <v>0</v>
      </c>
      <c r="S106" s="375"/>
      <c r="T106" s="396"/>
    </row>
    <row r="107" spans="1:20" x14ac:dyDescent="0.25">
      <c r="A107" s="390"/>
      <c r="B107" s="369"/>
      <c r="C107" s="369"/>
      <c r="D107" s="369" t="s">
        <v>717</v>
      </c>
      <c r="E107" s="382">
        <v>53.540999999999997</v>
      </c>
      <c r="F107" s="383">
        <v>53.95</v>
      </c>
      <c r="G107" s="384">
        <v>54.332000000000001</v>
      </c>
      <c r="H107" s="421"/>
      <c r="I107" s="375"/>
      <c r="J107" s="375"/>
      <c r="K107" s="375"/>
      <c r="L107" s="375">
        <f>Table146[[#This Row],[Green target threshold]]+Table146[[#This Row],[Green target threshold]]*0.5</f>
        <v>0</v>
      </c>
      <c r="M107" s="375"/>
      <c r="N107" s="375"/>
      <c r="O107" s="375"/>
      <c r="P107" s="375"/>
      <c r="Q107" s="375"/>
      <c r="R107" s="375">
        <f>Table146[[#This Row],[Red target threshold]]-Table146[[#This Row],[Red target threshold]]*0.5</f>
        <v>0</v>
      </c>
      <c r="S107" s="375"/>
      <c r="T107" s="396"/>
    </row>
    <row r="108" spans="1:20" x14ac:dyDescent="0.25">
      <c r="A108" s="390"/>
      <c r="B108" s="369"/>
      <c r="C108" s="369"/>
      <c r="D108" s="369" t="s">
        <v>683</v>
      </c>
      <c r="E108" s="382">
        <v>56.323999999999998</v>
      </c>
      <c r="F108" s="383">
        <v>56.709000000000003</v>
      </c>
      <c r="G108" s="384">
        <v>57.067999999999998</v>
      </c>
      <c r="H108" s="421"/>
      <c r="I108" s="375"/>
      <c r="J108" s="375"/>
      <c r="K108" s="375"/>
      <c r="L108" s="375">
        <f>Table146[[#This Row],[Green target threshold]]+Table146[[#This Row],[Green target threshold]]*0.5</f>
        <v>0</v>
      </c>
      <c r="M108" s="375"/>
      <c r="N108" s="375"/>
      <c r="O108" s="375"/>
      <c r="P108" s="375"/>
      <c r="Q108" s="375"/>
      <c r="R108" s="375">
        <f>Table146[[#This Row],[Red target threshold]]-Table146[[#This Row],[Red target threshold]]*0.5</f>
        <v>0</v>
      </c>
      <c r="S108" s="375"/>
      <c r="T108" s="396"/>
    </row>
    <row r="109" spans="1:20" x14ac:dyDescent="0.25">
      <c r="A109" s="390"/>
      <c r="B109" s="369"/>
      <c r="C109" s="369"/>
      <c r="D109" s="369" t="s">
        <v>718</v>
      </c>
      <c r="E109" s="382">
        <v>57.12</v>
      </c>
      <c r="F109" s="383">
        <v>57.365000000000002</v>
      </c>
      <c r="G109" s="384">
        <v>57.603999999999999</v>
      </c>
      <c r="H109" s="421"/>
      <c r="I109" s="375"/>
      <c r="J109" s="375"/>
      <c r="K109" s="375"/>
      <c r="L109" s="375">
        <f>Table146[[#This Row],[Green target threshold]]+Table146[[#This Row],[Green target threshold]]*0.5</f>
        <v>0</v>
      </c>
      <c r="M109" s="375"/>
      <c r="N109" s="375"/>
      <c r="O109" s="375"/>
      <c r="P109" s="375"/>
      <c r="Q109" s="375"/>
      <c r="R109" s="375">
        <f>Table146[[#This Row],[Red target threshold]]-Table146[[#This Row],[Red target threshold]]*0.5</f>
        <v>0</v>
      </c>
      <c r="S109" s="375"/>
      <c r="T109" s="396"/>
    </row>
    <row r="110" spans="1:20" s="386" customFormat="1" x14ac:dyDescent="0.25">
      <c r="A110" s="409"/>
      <c r="B110" s="406"/>
      <c r="C110" s="406"/>
      <c r="D110" s="406"/>
      <c r="E110" s="407">
        <v>2016</v>
      </c>
      <c r="F110" s="407">
        <v>2017</v>
      </c>
      <c r="G110" s="407">
        <v>2018</v>
      </c>
      <c r="H110" s="407"/>
      <c r="I110" s="407"/>
      <c r="J110" s="407"/>
      <c r="K110" s="407"/>
      <c r="L110" s="407">
        <f>Table146[[#This Row],[Green target threshold]]+Table146[[#This Row],[Green target threshold]]*0.5</f>
        <v>0</v>
      </c>
      <c r="M110" s="407"/>
      <c r="N110" s="407"/>
      <c r="O110" s="407"/>
      <c r="P110" s="407"/>
      <c r="Q110" s="407"/>
      <c r="R110" s="407">
        <f>Table146[[#This Row],[Red target threshold]]-Table146[[#This Row],[Red target threshold]]*0.5</f>
        <v>0</v>
      </c>
      <c r="S110" s="407"/>
      <c r="T110" s="413"/>
    </row>
    <row r="111" spans="1:20" x14ac:dyDescent="0.25">
      <c r="A111" s="418" t="s">
        <v>550</v>
      </c>
      <c r="B111" s="437" t="s">
        <v>548</v>
      </c>
      <c r="C111" s="437" t="s">
        <v>191</v>
      </c>
      <c r="D111" s="436" t="s">
        <v>904</v>
      </c>
      <c r="E111" s="420">
        <v>0.72699999999999998</v>
      </c>
      <c r="F111" s="420">
        <v>0.72899999999999998</v>
      </c>
      <c r="G111" s="420">
        <v>0.73099999999999998</v>
      </c>
      <c r="H111" s="421">
        <v>2016</v>
      </c>
      <c r="I111" s="421">
        <v>0.72699999999999998</v>
      </c>
      <c r="J111" s="421">
        <v>2015</v>
      </c>
      <c r="K111" s="411">
        <v>0.68093999999999999</v>
      </c>
      <c r="L111" s="411">
        <v>1</v>
      </c>
      <c r="M111" s="421">
        <f>AVERAGE(G112:G116)</f>
        <v>0.94399999999999995</v>
      </c>
      <c r="N111" s="421"/>
      <c r="O111" s="421" t="s">
        <v>978</v>
      </c>
      <c r="P111" s="421">
        <f>(M111-K111)*0.5+K111</f>
        <v>0.81247000000000003</v>
      </c>
      <c r="Q111" s="421">
        <f>K111</f>
        <v>0.68093999999999999</v>
      </c>
      <c r="R111" s="421">
        <f>Table146[[#This Row],[Red target threshold]]-Table146[[#This Row],[Red target threshold]]*0.5</f>
        <v>0.34046999999999999</v>
      </c>
      <c r="S111" s="421"/>
      <c r="T111" s="419" t="s">
        <v>719</v>
      </c>
    </row>
    <row r="112" spans="1:20" x14ac:dyDescent="0.25">
      <c r="A112" s="390"/>
      <c r="B112" s="369"/>
      <c r="C112" s="369"/>
      <c r="D112" s="369" t="s">
        <v>690</v>
      </c>
      <c r="E112" s="379">
        <v>0.95099999999999996</v>
      </c>
      <c r="F112" s="380">
        <v>0.95299999999999996</v>
      </c>
      <c r="G112" s="381">
        <v>0.95399999999999996</v>
      </c>
      <c r="H112" s="421"/>
      <c r="I112" s="375"/>
      <c r="J112" s="375"/>
      <c r="K112" s="375"/>
      <c r="L112" s="375">
        <f>Table146[[#This Row],[Green target threshold]]+Table146[[#This Row],[Green target threshold]]*0.5</f>
        <v>0</v>
      </c>
      <c r="M112" s="375"/>
      <c r="N112" s="375"/>
      <c r="O112" s="375"/>
      <c r="P112" s="375"/>
      <c r="Q112" s="375"/>
      <c r="R112" s="375">
        <f>Table146[[#This Row],[Red target threshold]]-Table146[[#This Row],[Red target threshold]]*0.5</f>
        <v>0</v>
      </c>
      <c r="S112" s="375"/>
      <c r="T112" s="396"/>
    </row>
    <row r="113" spans="1:20" x14ac:dyDescent="0.25">
      <c r="A113" s="390"/>
      <c r="B113" s="369"/>
      <c r="C113" s="369"/>
      <c r="D113" s="369" t="s">
        <v>700</v>
      </c>
      <c r="E113" s="379">
        <v>0.94299999999999995</v>
      </c>
      <c r="F113" s="380">
        <v>0.94299999999999995</v>
      </c>
      <c r="G113" s="381">
        <v>0.94599999999999995</v>
      </c>
      <c r="H113" s="421"/>
      <c r="I113" s="375"/>
      <c r="J113" s="375"/>
      <c r="K113" s="375"/>
      <c r="L113" s="375">
        <f>Table146[[#This Row],[Green target threshold]]+Table146[[#This Row],[Green target threshold]]*0.5</f>
        <v>0</v>
      </c>
      <c r="M113" s="375"/>
      <c r="N113" s="375"/>
      <c r="O113" s="375"/>
      <c r="P113" s="375"/>
      <c r="Q113" s="375"/>
      <c r="R113" s="375">
        <f>Table146[[#This Row],[Red target threshold]]-Table146[[#This Row],[Red target threshold]]*0.5</f>
        <v>0</v>
      </c>
      <c r="S113" s="375"/>
      <c r="T113" s="396"/>
    </row>
    <row r="114" spans="1:20" x14ac:dyDescent="0.25">
      <c r="A114" s="390"/>
      <c r="B114" s="369"/>
      <c r="C114" s="369"/>
      <c r="D114" s="369" t="s">
        <v>681</v>
      </c>
      <c r="E114" s="379">
        <v>0.93600000000000005</v>
      </c>
      <c r="F114" s="380">
        <v>0.93899999999999995</v>
      </c>
      <c r="G114" s="381">
        <v>0.94199999999999995</v>
      </c>
      <c r="H114" s="421"/>
      <c r="I114" s="375"/>
      <c r="J114" s="375"/>
      <c r="K114" s="375"/>
      <c r="L114" s="375">
        <f>Table146[[#This Row],[Green target threshold]]+Table146[[#This Row],[Green target threshold]]*0.5</f>
        <v>0</v>
      </c>
      <c r="M114" s="375"/>
      <c r="N114" s="375"/>
      <c r="O114" s="375"/>
      <c r="P114" s="375"/>
      <c r="Q114" s="375"/>
      <c r="R114" s="375">
        <f>Table146[[#This Row],[Red target threshold]]-Table146[[#This Row],[Red target threshold]]*0.5</f>
        <v>0</v>
      </c>
      <c r="S114" s="375"/>
      <c r="T114" s="396"/>
    </row>
    <row r="115" spans="1:20" x14ac:dyDescent="0.25">
      <c r="A115" s="390"/>
      <c r="B115" s="369"/>
      <c r="C115" s="369"/>
      <c r="D115" s="369" t="s">
        <v>720</v>
      </c>
      <c r="E115" s="379">
        <v>0.93600000000000005</v>
      </c>
      <c r="F115" s="380">
        <v>0.93799999999999994</v>
      </c>
      <c r="G115" s="381">
        <v>0.93899999999999995</v>
      </c>
      <c r="H115" s="421"/>
      <c r="I115" s="375"/>
      <c r="J115" s="375"/>
      <c r="K115" s="375"/>
      <c r="L115" s="375">
        <f>Table146[[#This Row],[Green target threshold]]+Table146[[#This Row],[Green target threshold]]*0.5</f>
        <v>0</v>
      </c>
      <c r="M115" s="375"/>
      <c r="N115" s="375"/>
      <c r="O115" s="375"/>
      <c r="P115" s="375"/>
      <c r="Q115" s="375"/>
      <c r="R115" s="375">
        <f>Table146[[#This Row],[Red target threshold]]-Table146[[#This Row],[Red target threshold]]*0.5</f>
        <v>0</v>
      </c>
      <c r="S115" s="375"/>
      <c r="T115" s="396"/>
    </row>
    <row r="116" spans="1:20" x14ac:dyDescent="0.25">
      <c r="A116" s="390"/>
      <c r="B116" s="369"/>
      <c r="C116" s="369"/>
      <c r="D116" s="369" t="s">
        <v>721</v>
      </c>
      <c r="E116" s="379">
        <v>0.93100000000000005</v>
      </c>
      <c r="F116" s="380">
        <v>0.93700000000000006</v>
      </c>
      <c r="G116" s="381">
        <v>0.93899999999999995</v>
      </c>
      <c r="H116" s="421"/>
      <c r="I116" s="375"/>
      <c r="J116" s="375"/>
      <c r="K116" s="375"/>
      <c r="L116" s="375">
        <f>Table146[[#This Row],[Green target threshold]]+Table146[[#This Row],[Green target threshold]]*0.5</f>
        <v>0</v>
      </c>
      <c r="M116" s="375"/>
      <c r="N116" s="375"/>
      <c r="O116" s="375"/>
      <c r="P116" s="375"/>
      <c r="Q116" s="375"/>
      <c r="R116" s="375">
        <f>Table146[[#This Row],[Red target threshold]]-Table146[[#This Row],[Red target threshold]]*0.5</f>
        <v>0</v>
      </c>
      <c r="S116" s="375"/>
      <c r="T116" s="396"/>
    </row>
    <row r="117" spans="1:20" x14ac:dyDescent="0.25">
      <c r="A117" s="390"/>
      <c r="B117" s="369"/>
      <c r="C117" s="369"/>
      <c r="D117" s="369" t="s">
        <v>676</v>
      </c>
      <c r="E117" s="382">
        <v>0.36499999999999999</v>
      </c>
      <c r="F117" s="383">
        <v>0.373</v>
      </c>
      <c r="G117" s="384">
        <v>0.377</v>
      </c>
      <c r="H117" s="421"/>
      <c r="I117" s="375"/>
      <c r="J117" s="375"/>
      <c r="K117" s="375"/>
      <c r="L117" s="375">
        <f>Table146[[#This Row],[Green target threshold]]+Table146[[#This Row],[Green target threshold]]*0.5</f>
        <v>0</v>
      </c>
      <c r="M117" s="375"/>
      <c r="N117" s="375"/>
      <c r="O117" s="375"/>
      <c r="P117" s="375"/>
      <c r="Q117" s="375"/>
      <c r="R117" s="375">
        <f>Table146[[#This Row],[Red target threshold]]-Table146[[#This Row],[Red target threshold]]*0.5</f>
        <v>0</v>
      </c>
      <c r="S117" s="375"/>
      <c r="T117" s="396"/>
    </row>
    <row r="118" spans="1:20" x14ac:dyDescent="0.25">
      <c r="A118" s="390"/>
      <c r="B118" s="369"/>
      <c r="C118" s="369"/>
      <c r="D118" s="369" t="s">
        <v>711</v>
      </c>
      <c r="E118" s="382">
        <v>0.39800000000000002</v>
      </c>
      <c r="F118" s="383">
        <v>0.40100000000000002</v>
      </c>
      <c r="G118" s="384">
        <v>0.40100000000000002</v>
      </c>
      <c r="H118" s="421"/>
      <c r="I118" s="375"/>
      <c r="J118" s="375"/>
      <c r="K118" s="375"/>
      <c r="L118" s="375">
        <f>Table146[[#This Row],[Green target threshold]]+Table146[[#This Row],[Green target threshold]]*0.5</f>
        <v>0</v>
      </c>
      <c r="M118" s="375"/>
      <c r="N118" s="375"/>
      <c r="O118" s="375"/>
      <c r="P118" s="375"/>
      <c r="Q118" s="375"/>
      <c r="R118" s="375">
        <f>Table146[[#This Row],[Red target threshold]]-Table146[[#This Row],[Red target threshold]]*0.5</f>
        <v>0</v>
      </c>
      <c r="S118" s="375"/>
      <c r="T118" s="396"/>
    </row>
    <row r="119" spans="1:20" x14ac:dyDescent="0.25">
      <c r="A119" s="390"/>
      <c r="B119" s="369"/>
      <c r="C119" s="369"/>
      <c r="D119" s="369" t="s">
        <v>718</v>
      </c>
      <c r="E119" s="382">
        <v>0.41799999999999998</v>
      </c>
      <c r="F119" s="383">
        <v>0.41399999999999998</v>
      </c>
      <c r="G119" s="384">
        <v>0.41299999999999998</v>
      </c>
      <c r="H119" s="421"/>
      <c r="I119" s="375"/>
      <c r="J119" s="375"/>
      <c r="K119" s="375"/>
      <c r="L119" s="375">
        <f>Table146[[#This Row],[Green target threshold]]+Table146[[#This Row],[Green target threshold]]*0.5</f>
        <v>0</v>
      </c>
      <c r="M119" s="375"/>
      <c r="N119" s="375"/>
      <c r="O119" s="375"/>
      <c r="P119" s="375"/>
      <c r="Q119" s="375"/>
      <c r="R119" s="375">
        <f>Table146[[#This Row],[Red target threshold]]-Table146[[#This Row],[Red target threshold]]*0.5</f>
        <v>0</v>
      </c>
      <c r="S119" s="375"/>
      <c r="T119" s="396"/>
    </row>
    <row r="120" spans="1:20" x14ac:dyDescent="0.25">
      <c r="A120" s="390"/>
      <c r="B120" s="369"/>
      <c r="C120" s="369"/>
      <c r="D120" s="369" t="s">
        <v>722</v>
      </c>
      <c r="E120" s="382">
        <v>0.42699999999999999</v>
      </c>
      <c r="F120" s="383">
        <v>0.42099999999999999</v>
      </c>
      <c r="G120" s="384">
        <v>0.42299999999999999</v>
      </c>
      <c r="H120" s="421"/>
      <c r="I120" s="375"/>
      <c r="J120" s="375"/>
      <c r="K120" s="375"/>
      <c r="L120" s="375">
        <f>Table146[[#This Row],[Green target threshold]]+Table146[[#This Row],[Green target threshold]]*0.5</f>
        <v>0</v>
      </c>
      <c r="M120" s="375"/>
      <c r="N120" s="375"/>
      <c r="O120" s="375"/>
      <c r="P120" s="375"/>
      <c r="Q120" s="375"/>
      <c r="R120" s="375">
        <f>Table146[[#This Row],[Red target threshold]]-Table146[[#This Row],[Red target threshold]]*0.5</f>
        <v>0</v>
      </c>
      <c r="S120" s="375"/>
      <c r="T120" s="396"/>
    </row>
    <row r="121" spans="1:20" x14ac:dyDescent="0.25">
      <c r="A121" s="390"/>
      <c r="B121" s="369"/>
      <c r="C121" s="369"/>
      <c r="D121" s="369" t="s">
        <v>710</v>
      </c>
      <c r="E121" s="382">
        <v>0.42</v>
      </c>
      <c r="F121" s="383">
        <v>0.42599999999999999</v>
      </c>
      <c r="G121" s="384">
        <v>0.42699999999999999</v>
      </c>
      <c r="H121" s="421"/>
      <c r="I121" s="375"/>
      <c r="J121" s="375"/>
      <c r="K121" s="375"/>
      <c r="L121" s="375">
        <f>Table146[[#This Row],[Green target threshold]]+Table146[[#This Row],[Green target threshold]]*0.5</f>
        <v>0</v>
      </c>
      <c r="M121" s="375"/>
      <c r="N121" s="375"/>
      <c r="O121" s="375"/>
      <c r="P121" s="375"/>
      <c r="Q121" s="375"/>
      <c r="R121" s="375">
        <f>Table146[[#This Row],[Red target threshold]]-Table146[[#This Row],[Red target threshold]]*0.5</f>
        <v>0</v>
      </c>
      <c r="S121" s="375"/>
      <c r="T121" s="396"/>
    </row>
    <row r="122" spans="1:20" s="386" customFormat="1" x14ac:dyDescent="0.25">
      <c r="A122" s="409"/>
      <c r="B122" s="406"/>
      <c r="C122" s="406"/>
      <c r="D122" s="406"/>
      <c r="E122" s="407">
        <v>2016</v>
      </c>
      <c r="F122" s="407">
        <v>2017</v>
      </c>
      <c r="G122" s="407">
        <v>2018</v>
      </c>
      <c r="H122" s="407"/>
      <c r="I122" s="407"/>
      <c r="J122" s="407"/>
      <c r="K122" s="407"/>
      <c r="L122" s="407">
        <f>Table146[[#This Row],[Green target threshold]]+Table146[[#This Row],[Green target threshold]]*0.5</f>
        <v>0</v>
      </c>
      <c r="M122" s="407"/>
      <c r="N122" s="407"/>
      <c r="O122" s="407"/>
      <c r="P122" s="407"/>
      <c r="Q122" s="407"/>
      <c r="R122" s="407">
        <f>Table146[[#This Row],[Red target threshold]]-Table146[[#This Row],[Red target threshold]]*0.5</f>
        <v>0</v>
      </c>
      <c r="S122" s="407"/>
      <c r="T122" s="413"/>
    </row>
    <row r="123" spans="1:20" x14ac:dyDescent="0.25">
      <c r="A123" s="418" t="s">
        <v>556</v>
      </c>
      <c r="B123" s="437" t="s">
        <v>552</v>
      </c>
      <c r="C123" s="437" t="s">
        <v>553</v>
      </c>
      <c r="D123" s="436" t="s">
        <v>904</v>
      </c>
      <c r="E123" s="420">
        <v>43.364129249999998</v>
      </c>
      <c r="F123" s="420">
        <v>42.457934940000001</v>
      </c>
      <c r="G123" s="420">
        <v>42.040219409999999</v>
      </c>
      <c r="H123" s="421">
        <v>2016</v>
      </c>
      <c r="I123" s="421">
        <v>43.364129249999998</v>
      </c>
      <c r="J123" s="421">
        <v>2015</v>
      </c>
      <c r="K123" s="411">
        <v>43.222799999999999</v>
      </c>
      <c r="L123" s="411">
        <f>Table146[[#This Row],[Green target threshold]]+Table146[[#This Row],[Green target threshold]]*0.5</f>
        <v>4.1328599999999991</v>
      </c>
      <c r="M123" s="421">
        <f>AVERAGE(G129:G133)</f>
        <v>2.7552399999999997</v>
      </c>
      <c r="N123" s="421"/>
      <c r="O123" s="421" t="s">
        <v>978</v>
      </c>
      <c r="P123" s="421">
        <f>(M123-K123)*0.5+K123</f>
        <v>22.98902</v>
      </c>
      <c r="Q123" s="421">
        <f>K123</f>
        <v>43.222799999999999</v>
      </c>
      <c r="R123" s="421">
        <f>Table146[[#This Row],[Red target threshold]]+Table146[[#This Row],[Red target threshold]]*0.5</f>
        <v>64.834199999999996</v>
      </c>
      <c r="S123" s="421"/>
      <c r="T123" s="419" t="s">
        <v>707</v>
      </c>
    </row>
    <row r="124" spans="1:20" x14ac:dyDescent="0.25">
      <c r="A124" s="390"/>
      <c r="B124" s="369"/>
      <c r="C124" s="369"/>
      <c r="D124" s="369" t="s">
        <v>676</v>
      </c>
      <c r="E124" s="379">
        <v>189.37899999999999</v>
      </c>
      <c r="F124" s="380">
        <v>186.53800000000001</v>
      </c>
      <c r="G124" s="381">
        <v>183.51339999999999</v>
      </c>
      <c r="H124" s="421"/>
      <c r="I124" s="375"/>
      <c r="J124" s="375"/>
      <c r="K124" s="375"/>
      <c r="L124" s="375">
        <f>Table146[[#This Row],[Green target threshold]]+Table146[[#This Row],[Green target threshold]]*0.5</f>
        <v>0</v>
      </c>
      <c r="M124" s="375"/>
      <c r="N124" s="375"/>
      <c r="O124" s="375"/>
      <c r="P124" s="375"/>
      <c r="Q124" s="375"/>
      <c r="R124" s="375">
        <f>Table146[[#This Row],[Red target threshold]]-Table146[[#This Row],[Red target threshold]]*0.5</f>
        <v>0</v>
      </c>
      <c r="S124" s="375"/>
      <c r="T124" s="396"/>
    </row>
    <row r="125" spans="1:20" x14ac:dyDescent="0.25">
      <c r="A125" s="390"/>
      <c r="B125" s="369"/>
      <c r="C125" s="369"/>
      <c r="D125" s="369" t="s">
        <v>710</v>
      </c>
      <c r="E125" s="379">
        <v>171.08260000000001</v>
      </c>
      <c r="F125" s="380">
        <v>169.12700000000001</v>
      </c>
      <c r="G125" s="381">
        <v>166.86680000000001</v>
      </c>
      <c r="H125" s="421"/>
      <c r="I125" s="375"/>
      <c r="J125" s="375"/>
      <c r="K125" s="375"/>
      <c r="L125" s="375">
        <f>Table146[[#This Row],[Green target threshold]]+Table146[[#This Row],[Green target threshold]]*0.5</f>
        <v>0</v>
      </c>
      <c r="M125" s="375"/>
      <c r="N125" s="375"/>
      <c r="O125" s="375"/>
      <c r="P125" s="375"/>
      <c r="Q125" s="375"/>
      <c r="R125" s="375">
        <f>Table146[[#This Row],[Red target threshold]]-Table146[[#This Row],[Red target threshold]]*0.5</f>
        <v>0</v>
      </c>
      <c r="S125" s="375"/>
      <c r="T125" s="396"/>
    </row>
    <row r="126" spans="1:20" x14ac:dyDescent="0.25">
      <c r="A126" s="390"/>
      <c r="B126" s="369"/>
      <c r="C126" s="369"/>
      <c r="D126" s="369" t="s">
        <v>711</v>
      </c>
      <c r="E126" s="379">
        <v>164.51599999999999</v>
      </c>
      <c r="F126" s="380">
        <v>161.09</v>
      </c>
      <c r="G126" s="381">
        <v>157.9144</v>
      </c>
      <c r="H126" s="421"/>
      <c r="I126" s="375"/>
      <c r="J126" s="375"/>
      <c r="K126" s="375"/>
      <c r="L126" s="375">
        <f>Table146[[#This Row],[Green target threshold]]+Table146[[#This Row],[Green target threshold]]*0.5</f>
        <v>0</v>
      </c>
      <c r="M126" s="375"/>
      <c r="N126" s="375"/>
      <c r="O126" s="375"/>
      <c r="P126" s="375"/>
      <c r="Q126" s="375"/>
      <c r="R126" s="375">
        <f>Table146[[#This Row],[Red target threshold]]-Table146[[#This Row],[Red target threshold]]*0.5</f>
        <v>0</v>
      </c>
      <c r="S126" s="375"/>
      <c r="T126" s="396"/>
    </row>
    <row r="127" spans="1:20" x14ac:dyDescent="0.25">
      <c r="A127" s="390"/>
      <c r="B127" s="369"/>
      <c r="C127" s="369"/>
      <c r="D127" s="369" t="s">
        <v>712</v>
      </c>
      <c r="E127" s="379">
        <v>150.72980000000001</v>
      </c>
      <c r="F127" s="380">
        <v>148.626</v>
      </c>
      <c r="G127" s="381">
        <v>146.2508</v>
      </c>
      <c r="H127" s="421"/>
      <c r="I127" s="375"/>
      <c r="J127" s="375"/>
      <c r="K127" s="375"/>
      <c r="L127" s="375">
        <f>Table146[[#This Row],[Green target threshold]]+Table146[[#This Row],[Green target threshold]]*0.5</f>
        <v>0</v>
      </c>
      <c r="M127" s="375"/>
      <c r="N127" s="375"/>
      <c r="O127" s="375"/>
      <c r="P127" s="375"/>
      <c r="Q127" s="375"/>
      <c r="R127" s="375">
        <f>Table146[[#This Row],[Red target threshold]]-Table146[[#This Row],[Red target threshold]]*0.5</f>
        <v>0</v>
      </c>
      <c r="S127" s="375"/>
      <c r="T127" s="396"/>
    </row>
    <row r="128" spans="1:20" x14ac:dyDescent="0.25">
      <c r="A128" s="390"/>
      <c r="B128" s="369"/>
      <c r="C128" s="369"/>
      <c r="D128" s="369" t="s">
        <v>713</v>
      </c>
      <c r="E128" s="379">
        <v>136.578</v>
      </c>
      <c r="F128" s="380">
        <v>135.96199999999999</v>
      </c>
      <c r="G128" s="381">
        <v>135.56620000000001</v>
      </c>
      <c r="H128" s="421"/>
      <c r="I128" s="375"/>
      <c r="J128" s="375"/>
      <c r="K128" s="375"/>
      <c r="L128" s="375">
        <f>Table146[[#This Row],[Green target threshold]]+Table146[[#This Row],[Green target threshold]]*0.5</f>
        <v>0</v>
      </c>
      <c r="M128" s="375"/>
      <c r="N128" s="375"/>
      <c r="O128" s="375"/>
      <c r="P128" s="375"/>
      <c r="Q128" s="375"/>
      <c r="R128" s="375">
        <f>Table146[[#This Row],[Red target threshold]]-Table146[[#This Row],[Red target threshold]]*0.5</f>
        <v>0</v>
      </c>
      <c r="S128" s="375"/>
      <c r="T128" s="396"/>
    </row>
    <row r="129" spans="1:20" x14ac:dyDescent="0.25">
      <c r="A129" s="390"/>
      <c r="B129" s="369"/>
      <c r="C129" s="369"/>
      <c r="D129" s="369" t="s">
        <v>696</v>
      </c>
      <c r="E129" s="382">
        <v>1.4563999999999999</v>
      </c>
      <c r="F129" s="383">
        <v>1.379</v>
      </c>
      <c r="G129" s="384">
        <v>1.3204</v>
      </c>
      <c r="H129" s="421"/>
      <c r="I129" s="375"/>
      <c r="J129" s="375"/>
      <c r="K129" s="375"/>
      <c r="L129" s="375">
        <f>Table146[[#This Row],[Green target threshold]]+Table146[[#This Row],[Green target threshold]]*0.5</f>
        <v>0</v>
      </c>
      <c r="M129" s="375"/>
      <c r="N129" s="375"/>
      <c r="O129" s="375"/>
      <c r="P129" s="375"/>
      <c r="Q129" s="375"/>
      <c r="R129" s="375">
        <f>Table146[[#This Row],[Red target threshold]]-Table146[[#This Row],[Red target threshold]]*0.5</f>
        <v>0</v>
      </c>
      <c r="S129" s="375"/>
      <c r="T129" s="396"/>
    </row>
    <row r="130" spans="1:20" x14ac:dyDescent="0.25">
      <c r="A130" s="390"/>
      <c r="B130" s="369"/>
      <c r="C130" s="369"/>
      <c r="D130" s="369" t="s">
        <v>700</v>
      </c>
      <c r="E130" s="382">
        <v>2.911</v>
      </c>
      <c r="F130" s="383">
        <v>2.7629999999999999</v>
      </c>
      <c r="G130" s="384">
        <v>2.6438000000000001</v>
      </c>
      <c r="H130" s="421"/>
      <c r="I130" s="375"/>
      <c r="J130" s="375"/>
      <c r="K130" s="375"/>
      <c r="L130" s="375">
        <f>Table146[[#This Row],[Green target threshold]]+Table146[[#This Row],[Green target threshold]]*0.5</f>
        <v>0</v>
      </c>
      <c r="M130" s="375"/>
      <c r="N130" s="375"/>
      <c r="O130" s="375"/>
      <c r="P130" s="375"/>
      <c r="Q130" s="375"/>
      <c r="R130" s="375">
        <f>Table146[[#This Row],[Red target threshold]]-Table146[[#This Row],[Red target threshold]]*0.5</f>
        <v>0</v>
      </c>
      <c r="S130" s="375"/>
      <c r="T130" s="396"/>
    </row>
    <row r="131" spans="1:20" x14ac:dyDescent="0.25">
      <c r="A131" s="390"/>
      <c r="B131" s="369"/>
      <c r="C131" s="369"/>
      <c r="D131" s="369" t="s">
        <v>708</v>
      </c>
      <c r="E131" s="382">
        <v>2.7682000000000002</v>
      </c>
      <c r="F131" s="383">
        <v>2.7050000000000001</v>
      </c>
      <c r="G131" s="384">
        <v>2.6461999999999999</v>
      </c>
      <c r="H131" s="421"/>
      <c r="I131" s="375"/>
      <c r="J131" s="375"/>
      <c r="K131" s="375"/>
      <c r="L131" s="375">
        <f>Table146[[#This Row],[Green target threshold]]+Table146[[#This Row],[Green target threshold]]*0.5</f>
        <v>0</v>
      </c>
      <c r="M131" s="375"/>
      <c r="N131" s="375"/>
      <c r="O131" s="375"/>
      <c r="P131" s="375"/>
      <c r="Q131" s="375"/>
      <c r="R131" s="375">
        <f>Table146[[#This Row],[Red target threshold]]-Table146[[#This Row],[Red target threshold]]*0.5</f>
        <v>0</v>
      </c>
      <c r="S131" s="375"/>
      <c r="T131" s="396"/>
    </row>
    <row r="132" spans="1:20" x14ac:dyDescent="0.25">
      <c r="A132" s="390"/>
      <c r="B132" s="369"/>
      <c r="C132" s="369"/>
      <c r="D132" s="369" t="s">
        <v>702</v>
      </c>
      <c r="E132" s="382">
        <v>3.6057999999999999</v>
      </c>
      <c r="F132" s="383">
        <v>3.53</v>
      </c>
      <c r="G132" s="384">
        <v>3.5133999999999999</v>
      </c>
      <c r="H132" s="421"/>
      <c r="I132" s="375"/>
      <c r="J132" s="375"/>
      <c r="K132" s="375"/>
      <c r="L132" s="375">
        <f>Table146[[#This Row],[Green target threshold]]+Table146[[#This Row],[Green target threshold]]*0.5</f>
        <v>0</v>
      </c>
      <c r="M132" s="375"/>
      <c r="N132" s="375"/>
      <c r="O132" s="375"/>
      <c r="P132" s="375"/>
      <c r="Q132" s="375"/>
      <c r="R132" s="375">
        <f>Table146[[#This Row],[Red target threshold]]-Table146[[#This Row],[Red target threshold]]*0.5</f>
        <v>0</v>
      </c>
      <c r="S132" s="375"/>
      <c r="T132" s="396"/>
    </row>
    <row r="133" spans="1:20" x14ac:dyDescent="0.25">
      <c r="A133" s="390"/>
      <c r="B133" s="369"/>
      <c r="C133" s="369"/>
      <c r="D133" s="369" t="s">
        <v>709</v>
      </c>
      <c r="E133" s="382">
        <v>3.9668000000000001</v>
      </c>
      <c r="F133" s="383">
        <v>3.7759999999999998</v>
      </c>
      <c r="G133" s="384">
        <v>3.6524000000000001</v>
      </c>
      <c r="H133" s="421"/>
      <c r="I133" s="375"/>
      <c r="J133" s="375"/>
      <c r="K133" s="375"/>
      <c r="L133" s="375">
        <f>Table146[[#This Row],[Green target threshold]]+Table146[[#This Row],[Green target threshold]]*0.5</f>
        <v>0</v>
      </c>
      <c r="M133" s="375"/>
      <c r="N133" s="375"/>
      <c r="O133" s="375"/>
      <c r="P133" s="375"/>
      <c r="Q133" s="375"/>
      <c r="R133" s="375">
        <f>Table146[[#This Row],[Red target threshold]]-Table146[[#This Row],[Red target threshold]]*0.5</f>
        <v>0</v>
      </c>
      <c r="S133" s="375"/>
      <c r="T133" s="396"/>
    </row>
    <row r="134" spans="1:20" s="386" customFormat="1" x14ac:dyDescent="0.25">
      <c r="A134" s="409"/>
      <c r="B134" s="406"/>
      <c r="C134" s="406"/>
      <c r="D134" s="406"/>
      <c r="E134" s="407">
        <v>2015</v>
      </c>
      <c r="F134" s="407">
        <v>2016</v>
      </c>
      <c r="G134" s="407">
        <v>2017</v>
      </c>
      <c r="H134" s="407"/>
      <c r="I134" s="407"/>
      <c r="J134" s="407"/>
      <c r="K134" s="407"/>
      <c r="L134" s="407">
        <f>Table146[[#This Row],[Green target threshold]]+Table146[[#This Row],[Green target threshold]]*0.5</f>
        <v>0</v>
      </c>
      <c r="M134" s="407"/>
      <c r="N134" s="407"/>
      <c r="O134" s="407"/>
      <c r="P134" s="407"/>
      <c r="Q134" s="407"/>
      <c r="R134" s="407">
        <f>Table146[[#This Row],[Red target threshold]]-Table146[[#This Row],[Red target threshold]]*0.5</f>
        <v>0</v>
      </c>
      <c r="S134" s="407"/>
      <c r="T134" s="413"/>
    </row>
    <row r="135" spans="1:20" x14ac:dyDescent="0.25">
      <c r="A135" s="418" t="s">
        <v>558</v>
      </c>
      <c r="B135" s="344" t="s">
        <v>921</v>
      </c>
      <c r="C135" s="437" t="s">
        <v>473</v>
      </c>
      <c r="D135" s="436" t="s">
        <v>904</v>
      </c>
      <c r="E135" s="420">
        <v>63.486190000000001</v>
      </c>
      <c r="F135" s="420">
        <v>64.265510000000006</v>
      </c>
      <c r="G135" s="420">
        <v>64.54907</v>
      </c>
      <c r="H135" s="421">
        <v>2015</v>
      </c>
      <c r="I135" s="421">
        <v>63.486190000000001</v>
      </c>
      <c r="J135" s="421">
        <v>2015</v>
      </c>
      <c r="K135" s="411">
        <v>63.665700000000001</v>
      </c>
      <c r="L135" s="411">
        <v>100</v>
      </c>
      <c r="M135" s="421">
        <v>100</v>
      </c>
      <c r="N135" s="421"/>
      <c r="O135" s="421" t="s">
        <v>982</v>
      </c>
      <c r="P135" s="421">
        <f>(M135-K135)*0.5+K135</f>
        <v>81.832850000000008</v>
      </c>
      <c r="Q135" s="421">
        <f>K135</f>
        <v>63.665700000000001</v>
      </c>
      <c r="R135" s="421">
        <f>Table146[[#This Row],[Red target threshold]]-Table146[[#This Row],[Red target threshold]]*0.5</f>
        <v>31.832850000000001</v>
      </c>
      <c r="S135" s="421" t="s">
        <v>1034</v>
      </c>
      <c r="T135" s="419" t="s">
        <v>783</v>
      </c>
    </row>
    <row r="136" spans="1:20" x14ac:dyDescent="0.25">
      <c r="A136" s="390"/>
      <c r="B136" s="369"/>
      <c r="C136" s="369"/>
      <c r="D136" s="369" t="s">
        <v>680</v>
      </c>
      <c r="E136" s="379">
        <v>99.183350000000004</v>
      </c>
      <c r="F136" s="380">
        <v>99.870239999999995</v>
      </c>
      <c r="G136" s="381">
        <v>99.935559999999995</v>
      </c>
      <c r="H136" s="421"/>
      <c r="I136" s="375"/>
      <c r="J136" s="375"/>
      <c r="K136" s="375"/>
      <c r="L136" s="375">
        <f>Table146[[#This Row],[Green target threshold]]+Table146[[#This Row],[Green target threshold]]*0.5</f>
        <v>0</v>
      </c>
      <c r="M136" s="375"/>
      <c r="N136" s="375"/>
      <c r="O136" s="375"/>
      <c r="P136" s="375"/>
      <c r="Q136" s="375"/>
      <c r="R136" s="375">
        <f>Table146[[#This Row],[Red target threshold]]-Table146[[#This Row],[Red target threshold]]*0.5</f>
        <v>0</v>
      </c>
      <c r="S136" s="375"/>
      <c r="T136" s="396"/>
    </row>
    <row r="137" spans="1:20" x14ac:dyDescent="0.25">
      <c r="A137" s="390"/>
      <c r="B137" s="369"/>
      <c r="C137" s="369"/>
      <c r="D137" s="369" t="s">
        <v>702</v>
      </c>
      <c r="E137" s="379"/>
      <c r="F137" s="380">
        <v>99.869010000000003</v>
      </c>
      <c r="G137" s="381">
        <v>99.91046</v>
      </c>
      <c r="H137" s="421"/>
      <c r="I137" s="375"/>
      <c r="J137" s="375"/>
      <c r="K137" s="375"/>
      <c r="L137" s="375">
        <f>Table146[[#This Row],[Green target threshold]]+Table146[[#This Row],[Green target threshold]]*0.5</f>
        <v>0</v>
      </c>
      <c r="M137" s="375"/>
      <c r="N137" s="375"/>
      <c r="O137" s="375"/>
      <c r="P137" s="375"/>
      <c r="Q137" s="375"/>
      <c r="R137" s="375">
        <f>Table146[[#This Row],[Red target threshold]]-Table146[[#This Row],[Red target threshold]]*0.5</f>
        <v>0</v>
      </c>
      <c r="S137" s="375"/>
      <c r="T137" s="396"/>
    </row>
    <row r="138" spans="1:20" x14ac:dyDescent="0.25">
      <c r="A138" s="390"/>
      <c r="B138" s="369"/>
      <c r="C138" s="369"/>
      <c r="D138" s="369" t="s">
        <v>779</v>
      </c>
      <c r="E138" s="379">
        <v>97.48818</v>
      </c>
      <c r="F138" s="380">
        <v>99.592320000000001</v>
      </c>
      <c r="G138" s="381">
        <v>99.706770000000006</v>
      </c>
      <c r="H138" s="421"/>
      <c r="I138" s="375"/>
      <c r="J138" s="375"/>
      <c r="K138" s="375"/>
      <c r="L138" s="375">
        <f>Table146[[#This Row],[Green target threshold]]+Table146[[#This Row],[Green target threshold]]*0.5</f>
        <v>0</v>
      </c>
      <c r="M138" s="375"/>
      <c r="N138" s="375"/>
      <c r="O138" s="375"/>
      <c r="P138" s="375"/>
      <c r="Q138" s="375"/>
      <c r="R138" s="375">
        <f>Table146[[#This Row],[Red target threshold]]-Table146[[#This Row],[Red target threshold]]*0.5</f>
        <v>0</v>
      </c>
      <c r="S138" s="375"/>
      <c r="T138" s="396"/>
    </row>
    <row r="139" spans="1:20" x14ac:dyDescent="0.25">
      <c r="A139" s="390"/>
      <c r="B139" s="369"/>
      <c r="C139" s="369"/>
      <c r="D139" s="369" t="s">
        <v>681</v>
      </c>
      <c r="E139" s="379">
        <v>99.114189999999994</v>
      </c>
      <c r="F139" s="380">
        <v>99.505989999999997</v>
      </c>
      <c r="G139" s="381">
        <v>99.367270000000005</v>
      </c>
      <c r="H139" s="421"/>
      <c r="I139" s="375"/>
      <c r="J139" s="375"/>
      <c r="K139" s="375"/>
      <c r="L139" s="375">
        <f>Table146[[#This Row],[Green target threshold]]+Table146[[#This Row],[Green target threshold]]*0.5</f>
        <v>0</v>
      </c>
      <c r="M139" s="375"/>
      <c r="N139" s="375"/>
      <c r="O139" s="375"/>
      <c r="P139" s="375"/>
      <c r="Q139" s="375"/>
      <c r="R139" s="375">
        <f>Table146[[#This Row],[Red target threshold]]-Table146[[#This Row],[Red target threshold]]*0.5</f>
        <v>0</v>
      </c>
      <c r="S139" s="375"/>
      <c r="T139" s="396"/>
    </row>
    <row r="140" spans="1:20" x14ac:dyDescent="0.25">
      <c r="A140" s="390"/>
      <c r="B140" s="369"/>
      <c r="C140" s="369"/>
      <c r="D140" s="369" t="s">
        <v>679</v>
      </c>
      <c r="E140" s="379">
        <v>98.052120000000002</v>
      </c>
      <c r="F140" s="380">
        <v>98.717709999999997</v>
      </c>
      <c r="G140" s="381">
        <v>99.140969999999996</v>
      </c>
      <c r="H140" s="421"/>
      <c r="I140" s="375"/>
      <c r="J140" s="375"/>
      <c r="K140" s="375"/>
      <c r="L140" s="375">
        <f>Table146[[#This Row],[Green target threshold]]+Table146[[#This Row],[Green target threshold]]*0.5</f>
        <v>0</v>
      </c>
      <c r="M140" s="375"/>
      <c r="N140" s="375"/>
      <c r="O140" s="375"/>
      <c r="P140" s="375"/>
      <c r="Q140" s="375"/>
      <c r="R140" s="375">
        <f>Table146[[#This Row],[Red target threshold]]-Table146[[#This Row],[Red target threshold]]*0.5</f>
        <v>0</v>
      </c>
      <c r="S140" s="375"/>
      <c r="T140" s="396"/>
    </row>
    <row r="141" spans="1:20" x14ac:dyDescent="0.25">
      <c r="A141" s="390"/>
      <c r="B141" s="369"/>
      <c r="C141" s="369"/>
      <c r="D141" s="369" t="s">
        <v>780</v>
      </c>
      <c r="E141" s="382">
        <v>41.625900000000001</v>
      </c>
      <c r="F141" s="383">
        <v>41.709510000000002</v>
      </c>
      <c r="G141" s="384">
        <v>40.826990000000002</v>
      </c>
      <c r="H141" s="421"/>
      <c r="I141" s="375"/>
      <c r="J141" s="375"/>
      <c r="K141" s="375"/>
      <c r="L141" s="375">
        <f>Table146[[#This Row],[Green target threshold]]+Table146[[#This Row],[Green target threshold]]*0.5</f>
        <v>0</v>
      </c>
      <c r="M141" s="375"/>
      <c r="N141" s="375"/>
      <c r="O141" s="375"/>
      <c r="P141" s="375"/>
      <c r="Q141" s="375"/>
      <c r="R141" s="375">
        <f>Table146[[#This Row],[Red target threshold]]-Table146[[#This Row],[Red target threshold]]*0.5</f>
        <v>0</v>
      </c>
      <c r="S141" s="375"/>
      <c r="T141" s="396"/>
    </row>
    <row r="142" spans="1:20" x14ac:dyDescent="0.25">
      <c r="A142" s="390"/>
      <c r="B142" s="369"/>
      <c r="C142" s="369"/>
      <c r="D142" s="369" t="s">
        <v>704</v>
      </c>
      <c r="E142" s="382">
        <v>40.703749999999999</v>
      </c>
      <c r="F142" s="383">
        <v>41.531080000000003</v>
      </c>
      <c r="G142" s="384">
        <v>43.033259999999999</v>
      </c>
      <c r="H142" s="421"/>
      <c r="I142" s="375"/>
      <c r="J142" s="375"/>
      <c r="K142" s="375"/>
      <c r="L142" s="375">
        <f>Table146[[#This Row],[Green target threshold]]+Table146[[#This Row],[Green target threshold]]*0.5</f>
        <v>0</v>
      </c>
      <c r="M142" s="375"/>
      <c r="N142" s="375"/>
      <c r="O142" s="375"/>
      <c r="P142" s="375"/>
      <c r="Q142" s="375"/>
      <c r="R142" s="375">
        <f>Table146[[#This Row],[Red target threshold]]-Table146[[#This Row],[Red target threshold]]*0.5</f>
        <v>0</v>
      </c>
      <c r="S142" s="375"/>
      <c r="T142" s="396"/>
    </row>
    <row r="143" spans="1:20" x14ac:dyDescent="0.25">
      <c r="A143" s="390"/>
      <c r="B143" s="369"/>
      <c r="C143" s="369"/>
      <c r="D143" s="369" t="s">
        <v>722</v>
      </c>
      <c r="E143" s="382">
        <v>37.474449999999997</v>
      </c>
      <c r="F143" s="383">
        <v>40.556199999999997</v>
      </c>
      <c r="G143" s="384">
        <v>39.540750000000003</v>
      </c>
      <c r="H143" s="421"/>
      <c r="I143" s="375"/>
      <c r="J143" s="375"/>
      <c r="K143" s="375"/>
      <c r="L143" s="375">
        <f>Table146[[#This Row],[Green target threshold]]+Table146[[#This Row],[Green target threshold]]*0.5</f>
        <v>0</v>
      </c>
      <c r="M143" s="375"/>
      <c r="N143" s="375"/>
      <c r="O143" s="375"/>
      <c r="P143" s="375"/>
      <c r="Q143" s="375"/>
      <c r="R143" s="375">
        <f>Table146[[#This Row],[Red target threshold]]-Table146[[#This Row],[Red target threshold]]*0.5</f>
        <v>0</v>
      </c>
      <c r="S143" s="375"/>
      <c r="T143" s="396"/>
    </row>
    <row r="144" spans="1:20" x14ac:dyDescent="0.25">
      <c r="A144" s="390"/>
      <c r="B144" s="369"/>
      <c r="C144" s="369"/>
      <c r="D144" s="369" t="s">
        <v>781</v>
      </c>
      <c r="E144" s="382">
        <v>35.234920000000002</v>
      </c>
      <c r="F144" s="383">
        <v>35.461440000000003</v>
      </c>
      <c r="G144" s="384">
        <v>36.007770000000001</v>
      </c>
      <c r="H144" s="421"/>
      <c r="I144" s="375"/>
      <c r="J144" s="375"/>
      <c r="K144" s="375"/>
      <c r="L144" s="375">
        <f>Table146[[#This Row],[Green target threshold]]+Table146[[#This Row],[Green target threshold]]*0.5</f>
        <v>0</v>
      </c>
      <c r="M144" s="375"/>
      <c r="N144" s="375"/>
      <c r="O144" s="375"/>
      <c r="P144" s="375"/>
      <c r="Q144" s="375"/>
      <c r="R144" s="375">
        <f>Table146[[#This Row],[Red target threshold]]-Table146[[#This Row],[Red target threshold]]*0.5</f>
        <v>0</v>
      </c>
      <c r="S144" s="375"/>
      <c r="T144" s="396"/>
    </row>
    <row r="145" spans="1:20" x14ac:dyDescent="0.25">
      <c r="A145" s="390"/>
      <c r="B145" s="369"/>
      <c r="C145" s="369"/>
      <c r="D145" s="369" t="s">
        <v>782</v>
      </c>
      <c r="E145" s="382">
        <v>29.407039999999999</v>
      </c>
      <c r="F145" s="383">
        <v>32.879660000000001</v>
      </c>
      <c r="G145" s="384">
        <v>33.666969999999999</v>
      </c>
      <c r="H145" s="421"/>
      <c r="I145" s="375"/>
      <c r="J145" s="375"/>
      <c r="K145" s="375"/>
      <c r="L145" s="375">
        <f>Table146[[#This Row],[Green target threshold]]+Table146[[#This Row],[Green target threshold]]*0.5</f>
        <v>0</v>
      </c>
      <c r="M145" s="375"/>
      <c r="N145" s="375"/>
      <c r="O145" s="375"/>
      <c r="P145" s="375"/>
      <c r="Q145" s="375"/>
      <c r="R145" s="375">
        <f>Table146[[#This Row],[Red target threshold]]-Table146[[#This Row],[Red target threshold]]*0.5</f>
        <v>0</v>
      </c>
      <c r="S145" s="375"/>
      <c r="T145" s="396"/>
    </row>
    <row r="146" spans="1:20" s="386" customFormat="1" x14ac:dyDescent="0.25">
      <c r="A146" s="409"/>
      <c r="B146" s="406"/>
      <c r="C146" s="406"/>
      <c r="D146" s="406"/>
      <c r="E146" s="407">
        <v>2016</v>
      </c>
      <c r="F146" s="407">
        <v>2017</v>
      </c>
      <c r="G146" s="407">
        <v>2018</v>
      </c>
      <c r="H146" s="407"/>
      <c r="I146" s="407"/>
      <c r="J146" s="407"/>
      <c r="K146" s="407"/>
      <c r="L146" s="407">
        <f>Table146[[#This Row],[Green target threshold]]+Table146[[#This Row],[Green target threshold]]*0.5</f>
        <v>0</v>
      </c>
      <c r="M146" s="407"/>
      <c r="N146" s="407"/>
      <c r="O146" s="407"/>
      <c r="P146" s="407"/>
      <c r="Q146" s="407"/>
      <c r="R146" s="407">
        <f>Table146[[#This Row],[Red target threshold]]-Table146[[#This Row],[Red target threshold]]*0.5</f>
        <v>0</v>
      </c>
      <c r="S146" s="407"/>
      <c r="T146" s="413"/>
    </row>
    <row r="147" spans="1:20" x14ac:dyDescent="0.25">
      <c r="A147" s="418" t="s">
        <v>559</v>
      </c>
      <c r="B147" s="437" t="s">
        <v>917</v>
      </c>
      <c r="C147" s="437" t="s">
        <v>473</v>
      </c>
      <c r="D147" s="436" t="s">
        <v>904</v>
      </c>
      <c r="E147" s="420">
        <v>17.364519999999999</v>
      </c>
      <c r="F147" s="420">
        <v>17.212980000000002</v>
      </c>
      <c r="G147" s="420">
        <v>17.122129999999999</v>
      </c>
      <c r="H147" s="421">
        <v>2016</v>
      </c>
      <c r="I147" s="421">
        <v>17.364519999999999</v>
      </c>
      <c r="J147" s="421">
        <v>2015</v>
      </c>
      <c r="K147" s="411">
        <v>15.093299999999999</v>
      </c>
      <c r="L147" s="411">
        <f>Table146[[#This Row],[Green target threshold]]+Table146[[#This Row],[Green target threshold]]*0.5</f>
        <v>0</v>
      </c>
      <c r="M147" s="421">
        <v>0</v>
      </c>
      <c r="N147" s="421"/>
      <c r="O147" s="421" t="s">
        <v>982</v>
      </c>
      <c r="P147" s="421">
        <f>(M147-K147)*0.5+K147</f>
        <v>7.5466499999999996</v>
      </c>
      <c r="Q147" s="421">
        <f>K147</f>
        <v>15.093299999999999</v>
      </c>
      <c r="R147" s="421">
        <f>Table146[[#This Row],[Red target threshold]]+Table146[[#This Row],[Red target threshold]]*0.5</f>
        <v>22.639949999999999</v>
      </c>
      <c r="S147" s="421" t="s">
        <v>983</v>
      </c>
      <c r="T147" s="419" t="s">
        <v>783</v>
      </c>
    </row>
    <row r="148" spans="1:20" x14ac:dyDescent="0.25">
      <c r="A148" s="390"/>
      <c r="B148" s="369"/>
      <c r="C148" s="369"/>
      <c r="D148" s="369" t="s">
        <v>710</v>
      </c>
      <c r="E148" s="379">
        <v>45.827199999999998</v>
      </c>
      <c r="F148" s="380">
        <v>45.563699999999997</v>
      </c>
      <c r="G148" s="381">
        <v>50.707900000000002</v>
      </c>
      <c r="H148" s="421"/>
      <c r="I148" s="375"/>
      <c r="J148" s="375"/>
      <c r="K148" s="375"/>
      <c r="L148" s="375">
        <f>Table146[[#This Row],[Green target threshold]]+Table146[[#This Row],[Green target threshold]]*0.5</f>
        <v>0</v>
      </c>
      <c r="M148" s="375"/>
      <c r="N148" s="375"/>
      <c r="O148" s="375"/>
      <c r="P148" s="375"/>
      <c r="Q148" s="375"/>
      <c r="R148" s="375">
        <f>Table146[[#This Row],[Red target threshold]]-Table146[[#This Row],[Red target threshold]]*0.5</f>
        <v>0</v>
      </c>
      <c r="S148" s="375"/>
      <c r="T148" s="396"/>
    </row>
    <row r="149" spans="1:20" x14ac:dyDescent="0.25">
      <c r="A149" s="390"/>
      <c r="B149" s="369"/>
      <c r="C149" s="369"/>
      <c r="D149" s="369" t="s">
        <v>785</v>
      </c>
      <c r="E149" s="379">
        <v>0</v>
      </c>
      <c r="F149" s="380">
        <v>44.997500000000002</v>
      </c>
      <c r="G149" s="381">
        <v>44.901299999999999</v>
      </c>
      <c r="H149" s="421"/>
      <c r="I149" s="375"/>
      <c r="J149" s="375"/>
      <c r="K149" s="375"/>
      <c r="L149" s="375">
        <f>Table146[[#This Row],[Green target threshold]]+Table146[[#This Row],[Green target threshold]]*0.5</f>
        <v>0</v>
      </c>
      <c r="M149" s="375"/>
      <c r="N149" s="375"/>
      <c r="O149" s="375"/>
      <c r="P149" s="375"/>
      <c r="Q149" s="375"/>
      <c r="R149" s="375">
        <f>Table146[[#This Row],[Red target threshold]]-Table146[[#This Row],[Red target threshold]]*0.5</f>
        <v>0</v>
      </c>
      <c r="S149" s="375"/>
      <c r="T149" s="396"/>
    </row>
    <row r="150" spans="1:20" x14ac:dyDescent="0.25">
      <c r="A150" s="390"/>
      <c r="B150" s="369"/>
      <c r="C150" s="369"/>
      <c r="D150" s="369" t="s">
        <v>782</v>
      </c>
      <c r="E150" s="379">
        <v>40.0608</v>
      </c>
      <c r="F150" s="380">
        <v>38.498800000000003</v>
      </c>
      <c r="G150" s="381">
        <v>36.266800000000003</v>
      </c>
      <c r="H150" s="421"/>
      <c r="I150" s="375"/>
      <c r="J150" s="375"/>
      <c r="K150" s="375"/>
      <c r="L150" s="375">
        <f>Table146[[#This Row],[Green target threshold]]+Table146[[#This Row],[Green target threshold]]*0.5</f>
        <v>0</v>
      </c>
      <c r="M150" s="375"/>
      <c r="N150" s="375"/>
      <c r="O150" s="375"/>
      <c r="P150" s="375"/>
      <c r="Q150" s="375"/>
      <c r="R150" s="375">
        <f>Table146[[#This Row],[Red target threshold]]-Table146[[#This Row],[Red target threshold]]*0.5</f>
        <v>0</v>
      </c>
      <c r="S150" s="375"/>
      <c r="T150" s="396"/>
    </row>
    <row r="151" spans="1:20" x14ac:dyDescent="0.25">
      <c r="A151" s="390"/>
      <c r="B151" s="369"/>
      <c r="C151" s="369"/>
      <c r="D151" s="369" t="s">
        <v>786</v>
      </c>
      <c r="E151" s="379">
        <v>38.089700000000001</v>
      </c>
      <c r="F151" s="380">
        <v>38.241799999999998</v>
      </c>
      <c r="G151" s="381">
        <v>35.1815</v>
      </c>
      <c r="H151" s="421"/>
      <c r="I151" s="375"/>
      <c r="J151" s="375"/>
      <c r="K151" s="375"/>
      <c r="L151" s="375">
        <f>Table146[[#This Row],[Green target threshold]]+Table146[[#This Row],[Green target threshold]]*0.5</f>
        <v>0</v>
      </c>
      <c r="M151" s="375"/>
      <c r="N151" s="375"/>
      <c r="O151" s="375"/>
      <c r="P151" s="375"/>
      <c r="Q151" s="375"/>
      <c r="R151" s="375">
        <f>Table146[[#This Row],[Red target threshold]]-Table146[[#This Row],[Red target threshold]]*0.5</f>
        <v>0</v>
      </c>
      <c r="S151" s="375"/>
      <c r="T151" s="396"/>
    </row>
    <row r="152" spans="1:20" x14ac:dyDescent="0.25">
      <c r="A152" s="390"/>
      <c r="B152" s="369"/>
      <c r="C152" s="369"/>
      <c r="D152" s="369" t="s">
        <v>781</v>
      </c>
      <c r="E152" s="379">
        <v>40.281599999999997</v>
      </c>
      <c r="F152" s="380">
        <v>37.007899999999999</v>
      </c>
      <c r="G152" s="381">
        <v>33.8459</v>
      </c>
      <c r="H152" s="421"/>
      <c r="I152" s="375"/>
      <c r="J152" s="375"/>
      <c r="K152" s="375"/>
      <c r="L152" s="375">
        <f>Table146[[#This Row],[Green target threshold]]+Table146[[#This Row],[Green target threshold]]*0.5</f>
        <v>0</v>
      </c>
      <c r="M152" s="375"/>
      <c r="N152" s="375"/>
      <c r="O152" s="375"/>
      <c r="P152" s="375"/>
      <c r="Q152" s="375"/>
      <c r="R152" s="375">
        <f>Table146[[#This Row],[Red target threshold]]-Table146[[#This Row],[Red target threshold]]*0.5</f>
        <v>0</v>
      </c>
      <c r="S152" s="375"/>
      <c r="T152" s="396"/>
    </row>
    <row r="153" spans="1:20" x14ac:dyDescent="0.25">
      <c r="A153" s="390"/>
      <c r="B153" s="369"/>
      <c r="C153" s="369"/>
      <c r="D153" s="369" t="s">
        <v>702</v>
      </c>
      <c r="E153" s="382">
        <v>4.7800000000000002E-2</v>
      </c>
      <c r="F153" s="383">
        <v>4.9700000000000001E-2</v>
      </c>
      <c r="G153" s="384"/>
      <c r="H153" s="421"/>
      <c r="I153" s="375"/>
      <c r="J153" s="375"/>
      <c r="K153" s="375"/>
      <c r="L153" s="375">
        <f>Table146[[#This Row],[Green target threshold]]+Table146[[#This Row],[Green target threshold]]*0.5</f>
        <v>0</v>
      </c>
      <c r="M153" s="375"/>
      <c r="N153" s="375"/>
      <c r="O153" s="375"/>
      <c r="P153" s="375"/>
      <c r="Q153" s="375"/>
      <c r="R153" s="375">
        <f>Table146[[#This Row],[Red target threshold]]-Table146[[#This Row],[Red target threshold]]*0.5</f>
        <v>0</v>
      </c>
      <c r="S153" s="375"/>
      <c r="T153" s="396"/>
    </row>
    <row r="154" spans="1:20" x14ac:dyDescent="0.25">
      <c r="A154" s="390"/>
      <c r="B154" s="369"/>
      <c r="C154" s="369"/>
      <c r="D154" s="369" t="s">
        <v>681</v>
      </c>
      <c r="E154" s="382">
        <v>0.15859999999999999</v>
      </c>
      <c r="F154" s="383">
        <v>0.216</v>
      </c>
      <c r="G154" s="384"/>
      <c r="H154" s="421"/>
      <c r="I154" s="375"/>
      <c r="J154" s="375"/>
      <c r="K154" s="375"/>
      <c r="L154" s="375">
        <f>Table146[[#This Row],[Green target threshold]]+Table146[[#This Row],[Green target threshold]]*0.5</f>
        <v>0</v>
      </c>
      <c r="M154" s="375"/>
      <c r="N154" s="375"/>
      <c r="O154" s="375"/>
      <c r="P154" s="375"/>
      <c r="Q154" s="375"/>
      <c r="R154" s="375">
        <f>Table146[[#This Row],[Red target threshold]]-Table146[[#This Row],[Red target threshold]]*0.5</f>
        <v>0</v>
      </c>
      <c r="S154" s="375"/>
      <c r="T154" s="396"/>
    </row>
    <row r="155" spans="1:20" x14ac:dyDescent="0.25">
      <c r="A155" s="390"/>
      <c r="B155" s="369"/>
      <c r="C155" s="369"/>
      <c r="D155" s="369" t="s">
        <v>679</v>
      </c>
      <c r="E155" s="382">
        <v>1.2515000000000001</v>
      </c>
      <c r="F155" s="383">
        <v>0.64580000000000004</v>
      </c>
      <c r="G155" s="384"/>
      <c r="H155" s="421"/>
      <c r="I155" s="375"/>
      <c r="J155" s="375"/>
      <c r="K155" s="375"/>
      <c r="L155" s="375">
        <f>Table146[[#This Row],[Green target threshold]]+Table146[[#This Row],[Green target threshold]]*0.5</f>
        <v>0</v>
      </c>
      <c r="M155" s="375"/>
      <c r="N155" s="375"/>
      <c r="O155" s="375"/>
      <c r="P155" s="375"/>
      <c r="Q155" s="375"/>
      <c r="R155" s="375">
        <f>Table146[[#This Row],[Red target threshold]]-Table146[[#This Row],[Red target threshold]]*0.5</f>
        <v>0</v>
      </c>
      <c r="S155" s="375"/>
      <c r="T155" s="396"/>
    </row>
    <row r="156" spans="1:20" x14ac:dyDescent="0.25">
      <c r="A156" s="390"/>
      <c r="B156" s="369"/>
      <c r="C156" s="369"/>
      <c r="D156" s="369" t="s">
        <v>774</v>
      </c>
      <c r="E156" s="382">
        <v>0.79800000000000004</v>
      </c>
      <c r="F156" s="383">
        <v>0.68420000000000003</v>
      </c>
      <c r="G156" s="384"/>
      <c r="H156" s="421"/>
      <c r="I156" s="375"/>
      <c r="J156" s="375"/>
      <c r="K156" s="375"/>
      <c r="L156" s="375">
        <f>Table146[[#This Row],[Green target threshold]]+Table146[[#This Row],[Green target threshold]]*0.5</f>
        <v>0</v>
      </c>
      <c r="M156" s="375"/>
      <c r="N156" s="375"/>
      <c r="O156" s="375"/>
      <c r="P156" s="375"/>
      <c r="Q156" s="375"/>
      <c r="R156" s="375">
        <f>Table146[[#This Row],[Red target threshold]]-Table146[[#This Row],[Red target threshold]]*0.5</f>
        <v>0</v>
      </c>
      <c r="S156" s="375"/>
      <c r="T156" s="396"/>
    </row>
    <row r="157" spans="1:20" x14ac:dyDescent="0.25">
      <c r="A157" s="390"/>
      <c r="B157" s="369"/>
      <c r="C157" s="369"/>
      <c r="D157" s="369" t="s">
        <v>787</v>
      </c>
      <c r="E157" s="382">
        <v>1.4164000000000001</v>
      </c>
      <c r="F157" s="383">
        <v>0.71919999999999995</v>
      </c>
      <c r="G157" s="384"/>
      <c r="H157" s="421"/>
      <c r="I157" s="375"/>
      <c r="J157" s="375"/>
      <c r="K157" s="375"/>
      <c r="L157" s="375">
        <f>Table146[[#This Row],[Green target threshold]]+Table146[[#This Row],[Green target threshold]]*0.5</f>
        <v>0</v>
      </c>
      <c r="M157" s="375"/>
      <c r="N157" s="375"/>
      <c r="O157" s="375"/>
      <c r="P157" s="375"/>
      <c r="Q157" s="375"/>
      <c r="R157" s="375">
        <f>Table146[[#This Row],[Red target threshold]]-Table146[[#This Row],[Red target threshold]]*0.5</f>
        <v>0</v>
      </c>
      <c r="S157" s="375"/>
      <c r="T157" s="396"/>
    </row>
    <row r="158" spans="1:20" s="386" customFormat="1" x14ac:dyDescent="0.25">
      <c r="A158" s="409"/>
      <c r="B158" s="406"/>
      <c r="C158" s="406"/>
      <c r="D158" s="406"/>
      <c r="E158" s="407">
        <v>2016</v>
      </c>
      <c r="F158" s="407">
        <v>2017</v>
      </c>
      <c r="G158" s="407">
        <v>2018</v>
      </c>
      <c r="H158" s="407"/>
      <c r="I158" s="407"/>
      <c r="J158" s="407"/>
      <c r="K158" s="407"/>
      <c r="L158" s="407">
        <f>Table146[[#This Row],[Green target threshold]]+Table146[[#This Row],[Green target threshold]]*0.5</f>
        <v>0</v>
      </c>
      <c r="M158" s="407"/>
      <c r="N158" s="407"/>
      <c r="O158" s="407"/>
      <c r="P158" s="407"/>
      <c r="Q158" s="407"/>
      <c r="R158" s="407">
        <f>Table146[[#This Row],[Red target threshold]]-Table146[[#This Row],[Red target threshold]]*0.5</f>
        <v>0</v>
      </c>
      <c r="S158" s="407"/>
      <c r="T158" s="413"/>
    </row>
    <row r="159" spans="1:20" x14ac:dyDescent="0.25">
      <c r="A159" s="418" t="s">
        <v>566</v>
      </c>
      <c r="B159" s="437" t="s">
        <v>562</v>
      </c>
      <c r="C159" s="437" t="s">
        <v>219</v>
      </c>
      <c r="D159" s="436" t="s">
        <v>904</v>
      </c>
      <c r="E159" s="420">
        <v>8.4</v>
      </c>
      <c r="F159" s="420">
        <v>8.4</v>
      </c>
      <c r="G159" s="420">
        <v>8.4</v>
      </c>
      <c r="H159" s="421">
        <v>2016</v>
      </c>
      <c r="I159" s="421">
        <v>8.4</v>
      </c>
      <c r="J159" s="421">
        <v>2015</v>
      </c>
      <c r="K159" s="411">
        <v>7.61564</v>
      </c>
      <c r="L159" s="411">
        <v>15</v>
      </c>
      <c r="M159" s="421">
        <f>AVERAGE(G160:G164)</f>
        <v>13.440000000000001</v>
      </c>
      <c r="N159" s="421"/>
      <c r="O159" s="421" t="s">
        <v>978</v>
      </c>
      <c r="P159" s="421">
        <f>(M159-K159)*0.5+K159</f>
        <v>10.52782</v>
      </c>
      <c r="Q159" s="421">
        <f>K159</f>
        <v>7.61564</v>
      </c>
      <c r="R159" s="421">
        <f>Table146[[#This Row],[Red target threshold]]-Table146[[#This Row],[Red target threshold]]*0.5</f>
        <v>3.80782</v>
      </c>
      <c r="S159" s="421"/>
      <c r="T159" s="419" t="s">
        <v>723</v>
      </c>
    </row>
    <row r="160" spans="1:20" x14ac:dyDescent="0.25">
      <c r="A160" s="390"/>
      <c r="B160" s="369"/>
      <c r="C160" s="369"/>
      <c r="D160" s="369" t="s">
        <v>724</v>
      </c>
      <c r="E160" s="379">
        <v>14.1</v>
      </c>
      <c r="F160" s="380">
        <v>14.1</v>
      </c>
      <c r="G160" s="381">
        <v>14.1</v>
      </c>
      <c r="H160" s="421"/>
      <c r="I160" s="375"/>
      <c r="J160" s="375"/>
      <c r="K160" s="375"/>
      <c r="L160" s="375">
        <f>Table146[[#This Row],[Green target threshold]]+Table146[[#This Row],[Green target threshold]]*0.5</f>
        <v>0</v>
      </c>
      <c r="M160" s="375"/>
      <c r="N160" s="375"/>
      <c r="O160" s="375"/>
      <c r="P160" s="375"/>
      <c r="Q160" s="375"/>
      <c r="R160" s="375">
        <f>Table146[[#This Row],[Red target threshold]]-Table146[[#This Row],[Red target threshold]]*0.5</f>
        <v>0</v>
      </c>
      <c r="S160" s="375"/>
      <c r="T160" s="396"/>
    </row>
    <row r="161" spans="1:20" x14ac:dyDescent="0.25">
      <c r="A161" s="390"/>
      <c r="B161" s="369"/>
      <c r="C161" s="369"/>
      <c r="D161" s="369" t="s">
        <v>725</v>
      </c>
      <c r="E161" s="379">
        <v>13.4</v>
      </c>
      <c r="F161" s="380">
        <v>13.4</v>
      </c>
      <c r="G161" s="381">
        <v>13.4</v>
      </c>
      <c r="H161" s="421"/>
      <c r="I161" s="375"/>
      <c r="J161" s="375"/>
      <c r="K161" s="375"/>
      <c r="L161" s="375">
        <f>Table146[[#This Row],[Green target threshold]]+Table146[[#This Row],[Green target threshold]]*0.5</f>
        <v>0</v>
      </c>
      <c r="M161" s="375"/>
      <c r="N161" s="375"/>
      <c r="O161" s="375"/>
      <c r="P161" s="375"/>
      <c r="Q161" s="375"/>
      <c r="R161" s="375">
        <f>Table146[[#This Row],[Red target threshold]]-Table146[[#This Row],[Red target threshold]]*0.5</f>
        <v>0</v>
      </c>
      <c r="S161" s="375"/>
      <c r="T161" s="396"/>
    </row>
    <row r="162" spans="1:20" x14ac:dyDescent="0.25">
      <c r="A162" s="390"/>
      <c r="B162" s="369"/>
      <c r="C162" s="369"/>
      <c r="D162" s="369" t="s">
        <v>726</v>
      </c>
      <c r="E162" s="379">
        <v>13.4</v>
      </c>
      <c r="F162" s="380">
        <v>13.4</v>
      </c>
      <c r="G162" s="381">
        <v>13.4</v>
      </c>
      <c r="H162" s="421"/>
      <c r="I162" s="375"/>
      <c r="J162" s="375"/>
      <c r="K162" s="375"/>
      <c r="L162" s="375">
        <f>Table146[[#This Row],[Green target threshold]]+Table146[[#This Row],[Green target threshold]]*0.5</f>
        <v>0</v>
      </c>
      <c r="M162" s="375"/>
      <c r="N162" s="375"/>
      <c r="O162" s="375"/>
      <c r="P162" s="375"/>
      <c r="Q162" s="375"/>
      <c r="R162" s="375">
        <f>Table146[[#This Row],[Red target threshold]]-Table146[[#This Row],[Red target threshold]]*0.5</f>
        <v>0</v>
      </c>
      <c r="S162" s="375"/>
      <c r="T162" s="396"/>
    </row>
    <row r="163" spans="1:20" x14ac:dyDescent="0.25">
      <c r="A163" s="390"/>
      <c r="B163" s="369"/>
      <c r="C163" s="369"/>
      <c r="D163" s="369" t="s">
        <v>727</v>
      </c>
      <c r="E163" s="379">
        <v>13.3</v>
      </c>
      <c r="F163" s="380">
        <v>13.3</v>
      </c>
      <c r="G163" s="381">
        <v>13.3</v>
      </c>
      <c r="H163" s="421"/>
      <c r="I163" s="375"/>
      <c r="J163" s="375"/>
      <c r="K163" s="375"/>
      <c r="L163" s="375">
        <f>Table146[[#This Row],[Green target threshold]]+Table146[[#This Row],[Green target threshold]]*0.5</f>
        <v>0</v>
      </c>
      <c r="M163" s="375"/>
      <c r="N163" s="375"/>
      <c r="O163" s="375"/>
      <c r="P163" s="375"/>
      <c r="Q163" s="375"/>
      <c r="R163" s="375">
        <f>Table146[[#This Row],[Red target threshold]]-Table146[[#This Row],[Red target threshold]]*0.5</f>
        <v>0</v>
      </c>
      <c r="S163" s="375"/>
      <c r="T163" s="396"/>
    </row>
    <row r="164" spans="1:20" x14ac:dyDescent="0.25">
      <c r="A164" s="390"/>
      <c r="B164" s="369"/>
      <c r="C164" s="369"/>
      <c r="D164" s="369" t="s">
        <v>728</v>
      </c>
      <c r="E164" s="379">
        <v>13.1</v>
      </c>
      <c r="F164" s="380">
        <v>13</v>
      </c>
      <c r="G164" s="381">
        <v>13</v>
      </c>
      <c r="H164" s="421"/>
      <c r="I164" s="375"/>
      <c r="J164" s="375"/>
      <c r="K164" s="375"/>
      <c r="L164" s="375">
        <f>Table146[[#This Row],[Green target threshold]]+Table146[[#This Row],[Green target threshold]]*0.5</f>
        <v>0</v>
      </c>
      <c r="M164" s="375"/>
      <c r="N164" s="375"/>
      <c r="O164" s="375"/>
      <c r="P164" s="375"/>
      <c r="Q164" s="375"/>
      <c r="R164" s="375">
        <f>Table146[[#This Row],[Red target threshold]]-Table146[[#This Row],[Red target threshold]]*0.5</f>
        <v>0</v>
      </c>
      <c r="S164" s="375"/>
      <c r="T164" s="396"/>
    </row>
    <row r="165" spans="1:20" x14ac:dyDescent="0.25">
      <c r="A165" s="390"/>
      <c r="B165" s="369"/>
      <c r="C165" s="369"/>
      <c r="D165" s="369" t="s">
        <v>729</v>
      </c>
      <c r="E165" s="382">
        <v>1.9</v>
      </c>
      <c r="F165" s="383">
        <v>2</v>
      </c>
      <c r="G165" s="384">
        <v>2</v>
      </c>
      <c r="H165" s="421"/>
      <c r="I165" s="375"/>
      <c r="J165" s="375"/>
      <c r="K165" s="375"/>
      <c r="L165" s="375">
        <f>Table146[[#This Row],[Green target threshold]]+Table146[[#This Row],[Green target threshold]]*0.5</f>
        <v>0</v>
      </c>
      <c r="M165" s="375"/>
      <c r="N165" s="375"/>
      <c r="O165" s="375"/>
      <c r="P165" s="375"/>
      <c r="Q165" s="375"/>
      <c r="R165" s="375">
        <f>Table146[[#This Row],[Red target threshold]]-Table146[[#This Row],[Red target threshold]]*0.5</f>
        <v>0</v>
      </c>
      <c r="S165" s="375"/>
      <c r="T165" s="396"/>
    </row>
    <row r="166" spans="1:20" x14ac:dyDescent="0.25">
      <c r="A166" s="390"/>
      <c r="B166" s="369"/>
      <c r="C166" s="369"/>
      <c r="D166" s="369" t="s">
        <v>730</v>
      </c>
      <c r="E166" s="382">
        <v>2.4</v>
      </c>
      <c r="F166" s="383">
        <v>2.4</v>
      </c>
      <c r="G166" s="384">
        <v>2.4</v>
      </c>
      <c r="H166" s="421"/>
      <c r="I166" s="375"/>
      <c r="J166" s="375"/>
      <c r="K166" s="375"/>
      <c r="L166" s="375">
        <f>Table146[[#This Row],[Green target threshold]]+Table146[[#This Row],[Green target threshold]]*0.5</f>
        <v>0</v>
      </c>
      <c r="M166" s="375"/>
      <c r="N166" s="375"/>
      <c r="O166" s="375"/>
      <c r="P166" s="375"/>
      <c r="Q166" s="375"/>
      <c r="R166" s="375">
        <f>Table146[[#This Row],[Red target threshold]]-Table146[[#This Row],[Red target threshold]]*0.5</f>
        <v>0</v>
      </c>
      <c r="S166" s="375"/>
      <c r="T166" s="396"/>
    </row>
    <row r="167" spans="1:20" x14ac:dyDescent="0.25">
      <c r="A167" s="390"/>
      <c r="B167" s="369"/>
      <c r="C167" s="369"/>
      <c r="D167" s="369" t="s">
        <v>731</v>
      </c>
      <c r="E167" s="382">
        <v>2.2000000000000002</v>
      </c>
      <c r="F167" s="383">
        <v>2.4</v>
      </c>
      <c r="G167" s="384">
        <v>2.4</v>
      </c>
      <c r="H167" s="421"/>
      <c r="I167" s="375"/>
      <c r="J167" s="375"/>
      <c r="K167" s="375"/>
      <c r="L167" s="375">
        <f>Table146[[#This Row],[Green target threshold]]+Table146[[#This Row],[Green target threshold]]*0.5</f>
        <v>0</v>
      </c>
      <c r="M167" s="375"/>
      <c r="N167" s="375"/>
      <c r="O167" s="375"/>
      <c r="P167" s="375"/>
      <c r="Q167" s="375"/>
      <c r="R167" s="375">
        <f>Table146[[#This Row],[Red target threshold]]-Table146[[#This Row],[Red target threshold]]*0.5</f>
        <v>0</v>
      </c>
      <c r="S167" s="375"/>
      <c r="T167" s="396"/>
    </row>
    <row r="168" spans="1:20" x14ac:dyDescent="0.25">
      <c r="A168" s="390"/>
      <c r="B168" s="369"/>
      <c r="C168" s="369"/>
      <c r="D168" s="369" t="s">
        <v>732</v>
      </c>
      <c r="E168" s="382">
        <v>2.7</v>
      </c>
      <c r="F168" s="383">
        <v>2.7</v>
      </c>
      <c r="G168" s="384">
        <v>2.7</v>
      </c>
      <c r="H168" s="421"/>
      <c r="I168" s="375"/>
      <c r="J168" s="375"/>
      <c r="K168" s="375"/>
      <c r="L168" s="375">
        <f>Table146[[#This Row],[Green target threshold]]+Table146[[#This Row],[Green target threshold]]*0.5</f>
        <v>0</v>
      </c>
      <c r="M168" s="375"/>
      <c r="N168" s="375"/>
      <c r="O168" s="375"/>
      <c r="P168" s="375"/>
      <c r="Q168" s="375"/>
      <c r="R168" s="375">
        <f>Table146[[#This Row],[Red target threshold]]-Table146[[#This Row],[Red target threshold]]*0.5</f>
        <v>0</v>
      </c>
      <c r="S168" s="375"/>
      <c r="T168" s="396"/>
    </row>
    <row r="169" spans="1:20" x14ac:dyDescent="0.25">
      <c r="A169" s="390"/>
      <c r="B169" s="369"/>
      <c r="C169" s="369"/>
      <c r="D169" s="369" t="s">
        <v>733</v>
      </c>
      <c r="E169" s="382">
        <v>2.7</v>
      </c>
      <c r="F169" s="383">
        <v>2.8</v>
      </c>
      <c r="G169" s="384">
        <v>2.8</v>
      </c>
      <c r="H169" s="421"/>
      <c r="I169" s="375"/>
      <c r="J169" s="375"/>
      <c r="K169" s="375"/>
      <c r="L169" s="375">
        <f>Table146[[#This Row],[Green target threshold]]+Table146[[#This Row],[Green target threshold]]*0.5</f>
        <v>0</v>
      </c>
      <c r="M169" s="375"/>
      <c r="N169" s="375"/>
      <c r="O169" s="375"/>
      <c r="P169" s="375"/>
      <c r="Q169" s="375"/>
      <c r="R169" s="375">
        <f>Table146[[#This Row],[Red target threshold]]-Table146[[#This Row],[Red target threshold]]*0.5</f>
        <v>0</v>
      </c>
      <c r="S169" s="375"/>
      <c r="T169" s="396"/>
    </row>
    <row r="170" spans="1:20" s="386" customFormat="1" x14ac:dyDescent="0.25">
      <c r="A170" s="409"/>
      <c r="B170" s="406"/>
      <c r="C170" s="406"/>
      <c r="D170" s="406"/>
      <c r="E170" s="407"/>
      <c r="F170" s="407"/>
      <c r="G170" s="407">
        <v>2017</v>
      </c>
      <c r="H170" s="407"/>
      <c r="I170" s="407"/>
      <c r="J170" s="407"/>
      <c r="K170" s="407"/>
      <c r="L170" s="407">
        <f>Table146[[#This Row],[Green target threshold]]+Table146[[#This Row],[Green target threshold]]*0.5</f>
        <v>0</v>
      </c>
      <c r="M170" s="407"/>
      <c r="N170" s="407"/>
      <c r="O170" s="407"/>
      <c r="P170" s="407"/>
      <c r="Q170" s="407"/>
      <c r="R170" s="407">
        <f>Table146[[#This Row],[Red target threshold]]-Table146[[#This Row],[Red target threshold]]*0.5</f>
        <v>0</v>
      </c>
      <c r="S170" s="407"/>
      <c r="T170" s="413"/>
    </row>
    <row r="171" spans="1:20" x14ac:dyDescent="0.25">
      <c r="A171" s="418" t="s">
        <v>560</v>
      </c>
      <c r="B171" s="437" t="s">
        <v>561</v>
      </c>
      <c r="C171" s="437" t="s">
        <v>473</v>
      </c>
      <c r="D171" s="436" t="s">
        <v>799</v>
      </c>
      <c r="E171" s="420"/>
      <c r="F171" s="420"/>
      <c r="G171" s="420">
        <v>43.73</v>
      </c>
      <c r="H171" s="421">
        <v>2017</v>
      </c>
      <c r="I171" s="421">
        <v>43.73</v>
      </c>
      <c r="J171" s="421">
        <v>2015</v>
      </c>
      <c r="K171" s="411">
        <v>12.373100000000001</v>
      </c>
      <c r="L171" s="411">
        <v>100</v>
      </c>
      <c r="M171" s="421">
        <f>AVERAGE(G172:G176)</f>
        <v>60.862000000000002</v>
      </c>
      <c r="N171" s="421"/>
      <c r="O171" s="421" t="s">
        <v>978</v>
      </c>
      <c r="P171" s="421">
        <f>(M171-K171)*0.5+K171</f>
        <v>36.617550000000001</v>
      </c>
      <c r="Q171" s="421">
        <f>K171</f>
        <v>12.373100000000001</v>
      </c>
      <c r="R171" s="421">
        <v>0</v>
      </c>
      <c r="S171" s="421"/>
      <c r="T171" s="419" t="s">
        <v>770</v>
      </c>
    </row>
    <row r="172" spans="1:20" x14ac:dyDescent="0.25">
      <c r="A172" s="390"/>
      <c r="B172" s="369"/>
      <c r="C172" s="369"/>
      <c r="D172" s="369" t="s">
        <v>771</v>
      </c>
      <c r="E172" s="379"/>
      <c r="F172" s="380"/>
      <c r="G172" s="381">
        <v>69.75</v>
      </c>
      <c r="H172" s="421"/>
      <c r="I172" s="375"/>
      <c r="J172" s="375"/>
      <c r="K172" s="375"/>
      <c r="L172" s="375">
        <f>Table146[[#This Row],[Green target threshold]]+Table146[[#This Row],[Green target threshold]]*0.5</f>
        <v>0</v>
      </c>
      <c r="M172" s="375"/>
      <c r="N172" s="375"/>
      <c r="O172" s="375"/>
      <c r="P172" s="375"/>
      <c r="Q172" s="375"/>
      <c r="R172" s="375">
        <f>Table146[[#This Row],[Red target threshold]]-Table146[[#This Row],[Red target threshold]]*0.5</f>
        <v>0</v>
      </c>
      <c r="S172" s="375"/>
      <c r="T172" s="396"/>
    </row>
    <row r="173" spans="1:20" x14ac:dyDescent="0.25">
      <c r="A173" s="390"/>
      <c r="B173" s="369"/>
      <c r="C173" s="369"/>
      <c r="D173" s="369" t="s">
        <v>772</v>
      </c>
      <c r="E173" s="379"/>
      <c r="F173" s="380"/>
      <c r="G173" s="381">
        <v>60.92</v>
      </c>
      <c r="H173" s="421"/>
      <c r="I173" s="375"/>
      <c r="J173" s="375"/>
      <c r="K173" s="375"/>
      <c r="L173" s="375">
        <f>Table146[[#This Row],[Green target threshold]]+Table146[[#This Row],[Green target threshold]]*0.5</f>
        <v>0</v>
      </c>
      <c r="M173" s="375"/>
      <c r="N173" s="375"/>
      <c r="O173" s="375"/>
      <c r="P173" s="375"/>
      <c r="Q173" s="375"/>
      <c r="R173" s="375">
        <f>Table146[[#This Row],[Red target threshold]]-Table146[[#This Row],[Red target threshold]]*0.5</f>
        <v>0</v>
      </c>
      <c r="S173" s="375"/>
      <c r="T173" s="396"/>
    </row>
    <row r="174" spans="1:20" x14ac:dyDescent="0.25">
      <c r="A174" s="390"/>
      <c r="B174" s="369"/>
      <c r="C174" s="369"/>
      <c r="D174" s="369" t="s">
        <v>715</v>
      </c>
      <c r="E174" s="379"/>
      <c r="F174" s="380"/>
      <c r="G174" s="381">
        <v>60.43</v>
      </c>
      <c r="H174" s="421"/>
      <c r="I174" s="375"/>
      <c r="J174" s="375"/>
      <c r="K174" s="375"/>
      <c r="L174" s="375">
        <f>Table146[[#This Row],[Green target threshold]]+Table146[[#This Row],[Green target threshold]]*0.5</f>
        <v>0</v>
      </c>
      <c r="M174" s="375"/>
      <c r="N174" s="375"/>
      <c r="O174" s="375"/>
      <c r="P174" s="375"/>
      <c r="Q174" s="375"/>
      <c r="R174" s="375">
        <f>Table146[[#This Row],[Red target threshold]]-Table146[[#This Row],[Red target threshold]]*0.5</f>
        <v>0</v>
      </c>
      <c r="S174" s="375"/>
      <c r="T174" s="396"/>
    </row>
    <row r="175" spans="1:20" x14ac:dyDescent="0.25">
      <c r="A175" s="390"/>
      <c r="B175" s="369"/>
      <c r="C175" s="369"/>
      <c r="D175" s="369" t="s">
        <v>773</v>
      </c>
      <c r="E175" s="379"/>
      <c r="F175" s="380"/>
      <c r="G175" s="381">
        <v>57.58</v>
      </c>
      <c r="H175" s="421"/>
      <c r="I175" s="375"/>
      <c r="J175" s="375"/>
      <c r="K175" s="375"/>
      <c r="L175" s="375">
        <f>Table146[[#This Row],[Green target threshold]]+Table146[[#This Row],[Green target threshold]]*0.5</f>
        <v>0</v>
      </c>
      <c r="M175" s="375"/>
      <c r="N175" s="375"/>
      <c r="O175" s="375"/>
      <c r="P175" s="375"/>
      <c r="Q175" s="375"/>
      <c r="R175" s="375">
        <f>Table146[[#This Row],[Red target threshold]]-Table146[[#This Row],[Red target threshold]]*0.5</f>
        <v>0</v>
      </c>
      <c r="S175" s="375"/>
      <c r="T175" s="396"/>
    </row>
    <row r="176" spans="1:20" x14ac:dyDescent="0.25">
      <c r="A176" s="390"/>
      <c r="B176" s="369"/>
      <c r="C176" s="369"/>
      <c r="D176" s="369" t="s">
        <v>774</v>
      </c>
      <c r="E176" s="379"/>
      <c r="F176" s="380"/>
      <c r="G176" s="381">
        <v>55.63</v>
      </c>
      <c r="H176" s="421"/>
      <c r="I176" s="375"/>
      <c r="J176" s="375"/>
      <c r="K176" s="375"/>
      <c r="L176" s="375">
        <f>Table146[[#This Row],[Green target threshold]]+Table146[[#This Row],[Green target threshold]]*0.5</f>
        <v>0</v>
      </c>
      <c r="M176" s="375"/>
      <c r="N176" s="375"/>
      <c r="O176" s="375"/>
      <c r="P176" s="375"/>
      <c r="Q176" s="375"/>
      <c r="R176" s="375">
        <f>Table146[[#This Row],[Red target threshold]]-Table146[[#This Row],[Red target threshold]]*0.5</f>
        <v>0</v>
      </c>
      <c r="S176" s="375"/>
      <c r="T176" s="396"/>
    </row>
    <row r="177" spans="1:22" x14ac:dyDescent="0.25">
      <c r="A177" s="390"/>
      <c r="B177" s="369"/>
      <c r="C177" s="369"/>
      <c r="D177" s="369" t="s">
        <v>777</v>
      </c>
      <c r="E177" s="382"/>
      <c r="F177" s="383"/>
      <c r="G177" s="384">
        <v>17.95</v>
      </c>
      <c r="H177" s="421"/>
      <c r="I177" s="375"/>
      <c r="J177" s="375"/>
      <c r="K177" s="375"/>
      <c r="L177" s="375">
        <f>Table146[[#This Row],[Green target threshold]]+Table146[[#This Row],[Green target threshold]]*0.5</f>
        <v>0</v>
      </c>
      <c r="M177" s="375"/>
      <c r="N177" s="375"/>
      <c r="O177" s="375"/>
      <c r="P177" s="375"/>
      <c r="Q177" s="375"/>
      <c r="R177" s="375">
        <f>Table146[[#This Row],[Red target threshold]]-Table146[[#This Row],[Red target threshold]]*0.5</f>
        <v>0</v>
      </c>
      <c r="S177" s="375"/>
      <c r="T177" s="396"/>
    </row>
    <row r="178" spans="1:22" x14ac:dyDescent="0.25">
      <c r="A178" s="390"/>
      <c r="B178" s="369"/>
      <c r="C178" s="369"/>
      <c r="D178" s="369" t="s">
        <v>778</v>
      </c>
      <c r="E178" s="382"/>
      <c r="F178" s="383"/>
      <c r="G178" s="384">
        <v>16.63</v>
      </c>
      <c r="H178" s="421"/>
      <c r="I178" s="375"/>
      <c r="J178" s="375"/>
      <c r="K178" s="375"/>
      <c r="L178" s="375">
        <f>Table146[[#This Row],[Green target threshold]]+Table146[[#This Row],[Green target threshold]]*0.5</f>
        <v>0</v>
      </c>
      <c r="M178" s="375"/>
      <c r="N178" s="375"/>
      <c r="O178" s="375"/>
      <c r="P178" s="375"/>
      <c r="Q178" s="375"/>
      <c r="R178" s="375">
        <f>Table146[[#This Row],[Red target threshold]]-Table146[[#This Row],[Red target threshold]]*0.5</f>
        <v>0</v>
      </c>
      <c r="S178" s="375"/>
      <c r="T178" s="396"/>
    </row>
    <row r="179" spans="1:22" x14ac:dyDescent="0.25">
      <c r="A179" s="390"/>
      <c r="B179" s="369"/>
      <c r="C179" s="369"/>
      <c r="D179" s="369" t="s">
        <v>775</v>
      </c>
      <c r="E179" s="382"/>
      <c r="F179" s="383"/>
      <c r="G179" s="384">
        <v>16.13</v>
      </c>
      <c r="H179" s="421"/>
      <c r="I179" s="375"/>
      <c r="J179" s="375"/>
      <c r="K179" s="375"/>
      <c r="L179" s="375">
        <f>Table146[[#This Row],[Green target threshold]]+Table146[[#This Row],[Green target threshold]]*0.5</f>
        <v>0</v>
      </c>
      <c r="M179" s="375"/>
      <c r="N179" s="375"/>
      <c r="O179" s="375"/>
      <c r="P179" s="375"/>
      <c r="Q179" s="375"/>
      <c r="R179" s="375">
        <f>Table146[[#This Row],[Red target threshold]]-Table146[[#This Row],[Red target threshold]]*0.5</f>
        <v>0</v>
      </c>
      <c r="S179" s="375"/>
      <c r="T179" s="396"/>
    </row>
    <row r="180" spans="1:22" x14ac:dyDescent="0.25">
      <c r="A180" s="390"/>
      <c r="B180" s="369"/>
      <c r="C180" s="369"/>
      <c r="D180" s="369" t="s">
        <v>691</v>
      </c>
      <c r="E180" s="382"/>
      <c r="F180" s="383"/>
      <c r="G180" s="384">
        <v>13.9</v>
      </c>
      <c r="H180" s="421"/>
      <c r="I180" s="375"/>
      <c r="J180" s="375"/>
      <c r="K180" s="375"/>
      <c r="L180" s="375">
        <f>Table146[[#This Row],[Green target threshold]]+Table146[[#This Row],[Green target threshold]]*0.5</f>
        <v>0</v>
      </c>
      <c r="M180" s="375"/>
      <c r="N180" s="375"/>
      <c r="O180" s="375"/>
      <c r="P180" s="375"/>
      <c r="Q180" s="375"/>
      <c r="R180" s="375">
        <f>Table146[[#This Row],[Red target threshold]]-Table146[[#This Row],[Red target threshold]]*0.5</f>
        <v>0</v>
      </c>
      <c r="S180" s="375"/>
      <c r="T180" s="396"/>
    </row>
    <row r="181" spans="1:22" x14ac:dyDescent="0.25">
      <c r="A181" s="390"/>
      <c r="B181" s="369"/>
      <c r="C181" s="369"/>
      <c r="D181" s="369" t="s">
        <v>776</v>
      </c>
      <c r="E181" s="382"/>
      <c r="F181" s="383"/>
      <c r="G181" s="384">
        <v>6.01</v>
      </c>
      <c r="H181" s="421"/>
      <c r="I181" s="375"/>
      <c r="J181" s="375"/>
      <c r="K181" s="375"/>
      <c r="L181" s="375">
        <f>Table146[[#This Row],[Green target threshold]]+Table146[[#This Row],[Green target threshold]]*0.5</f>
        <v>0</v>
      </c>
      <c r="M181" s="375"/>
      <c r="N181" s="375"/>
      <c r="O181" s="375"/>
      <c r="P181" s="375"/>
      <c r="Q181" s="375"/>
      <c r="R181" s="375">
        <f>Table146[[#This Row],[Red target threshold]]-Table146[[#This Row],[Red target threshold]]*0.5</f>
        <v>0</v>
      </c>
      <c r="S181" s="375"/>
      <c r="T181" s="396"/>
    </row>
    <row r="182" spans="1:22" s="386" customFormat="1" x14ac:dyDescent="0.25">
      <c r="A182" s="409"/>
      <c r="B182" s="406"/>
      <c r="C182" s="406"/>
      <c r="D182" s="406"/>
      <c r="E182" s="407">
        <v>2017</v>
      </c>
      <c r="F182" s="407">
        <v>2018</v>
      </c>
      <c r="G182" s="407">
        <v>2019</v>
      </c>
      <c r="H182" s="407"/>
      <c r="I182" s="407"/>
      <c r="J182" s="407"/>
      <c r="K182" s="407"/>
      <c r="L182" s="407">
        <f>Table146[[#This Row],[Green target threshold]]+Table146[[#This Row],[Green target threshold]]*0.5</f>
        <v>0</v>
      </c>
      <c r="M182" s="407"/>
      <c r="N182" s="407"/>
      <c r="O182" s="407"/>
      <c r="P182" s="407"/>
      <c r="Q182" s="407"/>
      <c r="R182" s="407">
        <f>Table146[[#This Row],[Red target threshold]]-Table146[[#This Row],[Red target threshold]]*0.5</f>
        <v>0</v>
      </c>
      <c r="S182" s="407"/>
      <c r="T182" s="413"/>
    </row>
    <row r="183" spans="1:22" x14ac:dyDescent="0.25">
      <c r="A183" s="418" t="s">
        <v>735</v>
      </c>
      <c r="B183" s="437" t="s">
        <v>1080</v>
      </c>
      <c r="C183" s="437" t="s">
        <v>473</v>
      </c>
      <c r="D183" s="436" t="s">
        <v>904</v>
      </c>
      <c r="E183" s="420">
        <f>((490.2)/(4607+3141.9+3718.4+490.2))*100</f>
        <v>4.099519130252979</v>
      </c>
      <c r="F183" s="420">
        <f>(561.3/(4662.1+3309.4+3772.1+561.3))*100</f>
        <v>4.561597412412941</v>
      </c>
      <c r="G183" s="420">
        <f>(28.98/(193.03+141.45+157.86+28.98))*100</f>
        <v>5.5589657024476322</v>
      </c>
      <c r="H183" s="421">
        <v>2017</v>
      </c>
      <c r="I183" s="421">
        <v>4.099519130252979</v>
      </c>
      <c r="J183" s="421">
        <v>2015</v>
      </c>
      <c r="K183" s="411">
        <v>5.5293799999999997</v>
      </c>
      <c r="L183" s="411">
        <v>100</v>
      </c>
      <c r="M183" s="421">
        <v>17</v>
      </c>
      <c r="N183" s="421"/>
      <c r="O183" s="421" t="s">
        <v>985</v>
      </c>
      <c r="P183" s="421">
        <f>(M183-K183)*0.5+K183</f>
        <v>11.26469</v>
      </c>
      <c r="Q183" s="421">
        <f>K183</f>
        <v>5.5293799999999997</v>
      </c>
      <c r="R183" s="421">
        <v>0</v>
      </c>
      <c r="S183" s="421" t="s">
        <v>1128</v>
      </c>
      <c r="T183" s="419" t="s">
        <v>688</v>
      </c>
      <c r="U183" s="377" t="s">
        <v>738</v>
      </c>
      <c r="V183" s="360" t="s">
        <v>1082</v>
      </c>
    </row>
    <row r="184" spans="1:22" x14ac:dyDescent="0.25">
      <c r="A184" s="390"/>
      <c r="B184" s="369"/>
      <c r="C184" s="369"/>
      <c r="D184" s="369"/>
      <c r="E184" s="379"/>
      <c r="F184" s="380"/>
      <c r="G184" s="381"/>
      <c r="H184" s="421"/>
      <c r="I184" s="375"/>
      <c r="J184" s="375"/>
      <c r="K184" s="375"/>
      <c r="L184" s="375">
        <f>Table146[[#This Row],[Green target threshold]]+Table146[[#This Row],[Green target threshold]]*0.5</f>
        <v>0</v>
      </c>
      <c r="M184" s="375"/>
      <c r="N184" s="375"/>
      <c r="O184" s="375"/>
      <c r="P184" s="375"/>
      <c r="Q184" s="375"/>
      <c r="R184" s="375">
        <f>Table146[[#This Row],[Red target threshold]]-Table146[[#This Row],[Red target threshold]]*0.5</f>
        <v>0</v>
      </c>
      <c r="S184" s="375"/>
      <c r="T184" s="401"/>
    </row>
    <row r="185" spans="1:22" x14ac:dyDescent="0.25">
      <c r="A185" s="390"/>
      <c r="B185" s="369"/>
      <c r="C185" s="369"/>
      <c r="D185" s="369"/>
      <c r="E185" s="379"/>
      <c r="F185" s="380"/>
      <c r="G185" s="381"/>
      <c r="H185" s="421"/>
      <c r="I185" s="375"/>
      <c r="J185" s="375"/>
      <c r="K185" s="375"/>
      <c r="L185" s="375">
        <f>Table146[[#This Row],[Green target threshold]]+Table146[[#This Row],[Green target threshold]]*0.5</f>
        <v>0</v>
      </c>
      <c r="M185" s="375"/>
      <c r="N185" s="375"/>
      <c r="O185" s="375"/>
      <c r="P185" s="375"/>
      <c r="Q185" s="375"/>
      <c r="R185" s="375">
        <f>Table146[[#This Row],[Red target threshold]]-Table146[[#This Row],[Red target threshold]]*0.5</f>
        <v>0</v>
      </c>
      <c r="S185" s="375"/>
      <c r="T185" s="396"/>
    </row>
    <row r="186" spans="1:22" x14ac:dyDescent="0.25">
      <c r="A186" s="390"/>
      <c r="B186" s="369"/>
      <c r="C186" s="369"/>
      <c r="D186" s="369"/>
      <c r="E186" s="379"/>
      <c r="F186" s="380"/>
      <c r="G186" s="381"/>
      <c r="H186" s="421"/>
      <c r="I186" s="375"/>
      <c r="J186" s="375"/>
      <c r="K186" s="375"/>
      <c r="L186" s="375">
        <f>Table146[[#This Row],[Green target threshold]]+Table146[[#This Row],[Green target threshold]]*0.5</f>
        <v>0</v>
      </c>
      <c r="M186" s="375"/>
      <c r="N186" s="375"/>
      <c r="O186" s="375"/>
      <c r="P186" s="375"/>
      <c r="Q186" s="375"/>
      <c r="R186" s="375">
        <f>Table146[[#This Row],[Red target threshold]]-Table146[[#This Row],[Red target threshold]]*0.5</f>
        <v>0</v>
      </c>
      <c r="S186" s="375"/>
      <c r="T186" s="396"/>
    </row>
    <row r="187" spans="1:22" x14ac:dyDescent="0.25">
      <c r="A187" s="390"/>
      <c r="B187" s="369"/>
      <c r="C187" s="369"/>
      <c r="D187" s="369"/>
      <c r="E187" s="379"/>
      <c r="F187" s="380"/>
      <c r="G187" s="381"/>
      <c r="H187" s="421"/>
      <c r="I187" s="375"/>
      <c r="J187" s="375"/>
      <c r="K187" s="375"/>
      <c r="L187" s="375">
        <f>Table146[[#This Row],[Green target threshold]]+Table146[[#This Row],[Green target threshold]]*0.5</f>
        <v>0</v>
      </c>
      <c r="M187" s="375"/>
      <c r="N187" s="375"/>
      <c r="O187" s="375"/>
      <c r="P187" s="375"/>
      <c r="Q187" s="375"/>
      <c r="R187" s="375">
        <f>Table146[[#This Row],[Red target threshold]]-Table146[[#This Row],[Red target threshold]]*0.5</f>
        <v>0</v>
      </c>
      <c r="S187" s="375"/>
      <c r="T187" s="396"/>
    </row>
    <row r="188" spans="1:22" x14ac:dyDescent="0.25">
      <c r="A188" s="390"/>
      <c r="B188" s="369"/>
      <c r="C188" s="369"/>
      <c r="D188" s="369"/>
      <c r="E188" s="379"/>
      <c r="F188" s="380"/>
      <c r="G188" s="381"/>
      <c r="H188" s="421"/>
      <c r="I188" s="375"/>
      <c r="J188" s="375"/>
      <c r="K188" s="375"/>
      <c r="L188" s="375">
        <f>Table146[[#This Row],[Green target threshold]]+Table146[[#This Row],[Green target threshold]]*0.5</f>
        <v>0</v>
      </c>
      <c r="M188" s="375"/>
      <c r="N188" s="375"/>
      <c r="O188" s="375"/>
      <c r="P188" s="375"/>
      <c r="Q188" s="375"/>
      <c r="R188" s="375">
        <f>Table146[[#This Row],[Red target threshold]]-Table146[[#This Row],[Red target threshold]]*0.5</f>
        <v>0</v>
      </c>
      <c r="S188" s="375"/>
      <c r="T188" s="396"/>
    </row>
    <row r="189" spans="1:22" x14ac:dyDescent="0.25">
      <c r="A189" s="390"/>
      <c r="B189" s="369"/>
      <c r="C189" s="369"/>
      <c r="D189" s="369"/>
      <c r="E189" s="382"/>
      <c r="F189" s="383"/>
      <c r="G189" s="384"/>
      <c r="H189" s="421"/>
      <c r="I189" s="375"/>
      <c r="J189" s="375"/>
      <c r="K189" s="375"/>
      <c r="L189" s="375">
        <f>Table146[[#This Row],[Green target threshold]]+Table146[[#This Row],[Green target threshold]]*0.5</f>
        <v>0</v>
      </c>
      <c r="M189" s="375"/>
      <c r="N189" s="375"/>
      <c r="O189" s="375"/>
      <c r="P189" s="375"/>
      <c r="Q189" s="375"/>
      <c r="R189" s="375">
        <f>Table146[[#This Row],[Red target threshold]]-Table146[[#This Row],[Red target threshold]]*0.5</f>
        <v>0</v>
      </c>
      <c r="S189" s="375"/>
      <c r="T189" s="396"/>
    </row>
    <row r="190" spans="1:22" x14ac:dyDescent="0.25">
      <c r="A190" s="390"/>
      <c r="B190" s="369"/>
      <c r="C190" s="369"/>
      <c r="D190" s="369"/>
      <c r="E190" s="382"/>
      <c r="F190" s="383"/>
      <c r="G190" s="384"/>
      <c r="H190" s="421"/>
      <c r="I190" s="375"/>
      <c r="J190" s="375"/>
      <c r="K190" s="375"/>
      <c r="L190" s="375">
        <f>Table146[[#This Row],[Green target threshold]]+Table146[[#This Row],[Green target threshold]]*0.5</f>
        <v>0</v>
      </c>
      <c r="M190" s="375"/>
      <c r="N190" s="375"/>
      <c r="O190" s="375"/>
      <c r="P190" s="375"/>
      <c r="Q190" s="375"/>
      <c r="R190" s="375">
        <f>Table146[[#This Row],[Red target threshold]]-Table146[[#This Row],[Red target threshold]]*0.5</f>
        <v>0</v>
      </c>
      <c r="S190" s="375"/>
      <c r="T190" s="396"/>
    </row>
    <row r="191" spans="1:22" x14ac:dyDescent="0.25">
      <c r="A191" s="390"/>
      <c r="B191" s="369"/>
      <c r="C191" s="369"/>
      <c r="D191" s="369"/>
      <c r="E191" s="382"/>
      <c r="F191" s="383"/>
      <c r="G191" s="384"/>
      <c r="H191" s="421"/>
      <c r="I191" s="375"/>
      <c r="J191" s="375"/>
      <c r="K191" s="375"/>
      <c r="L191" s="375">
        <f>Table146[[#This Row],[Green target threshold]]+Table146[[#This Row],[Green target threshold]]*0.5</f>
        <v>0</v>
      </c>
      <c r="M191" s="375"/>
      <c r="N191" s="375"/>
      <c r="O191" s="375"/>
      <c r="P191" s="375"/>
      <c r="Q191" s="375"/>
      <c r="R191" s="375">
        <f>Table146[[#This Row],[Red target threshold]]-Table146[[#This Row],[Red target threshold]]*0.5</f>
        <v>0</v>
      </c>
      <c r="S191" s="375"/>
      <c r="T191" s="396"/>
    </row>
    <row r="192" spans="1:22" x14ac:dyDescent="0.25">
      <c r="A192" s="390"/>
      <c r="B192" s="369"/>
      <c r="C192" s="369"/>
      <c r="D192" s="369"/>
      <c r="E192" s="382"/>
      <c r="F192" s="383"/>
      <c r="G192" s="384"/>
      <c r="H192" s="421"/>
      <c r="I192" s="375"/>
      <c r="J192" s="375"/>
      <c r="K192" s="375"/>
      <c r="L192" s="375">
        <f>Table146[[#This Row],[Green target threshold]]+Table146[[#This Row],[Green target threshold]]*0.5</f>
        <v>0</v>
      </c>
      <c r="M192" s="375"/>
      <c r="N192" s="375"/>
      <c r="O192" s="375"/>
      <c r="P192" s="375"/>
      <c r="Q192" s="375"/>
      <c r="R192" s="375">
        <f>Table146[[#This Row],[Red target threshold]]-Table146[[#This Row],[Red target threshold]]*0.5</f>
        <v>0</v>
      </c>
      <c r="S192" s="375"/>
      <c r="T192" s="396"/>
    </row>
    <row r="193" spans="1:21" x14ac:dyDescent="0.25">
      <c r="A193" s="390"/>
      <c r="B193" s="369"/>
      <c r="C193" s="369"/>
      <c r="D193" s="369"/>
      <c r="E193" s="382"/>
      <c r="F193" s="383"/>
      <c r="G193" s="384"/>
      <c r="H193" s="421"/>
      <c r="I193" s="375"/>
      <c r="J193" s="375"/>
      <c r="K193" s="375"/>
      <c r="L193" s="375">
        <f>Table146[[#This Row],[Green target threshold]]+Table146[[#This Row],[Green target threshold]]*0.5</f>
        <v>0</v>
      </c>
      <c r="M193" s="375"/>
      <c r="N193" s="375"/>
      <c r="O193" s="375"/>
      <c r="P193" s="375"/>
      <c r="Q193" s="375"/>
      <c r="R193" s="375">
        <f>Table146[[#This Row],[Red target threshold]]-Table146[[#This Row],[Red target threshold]]*0.5</f>
        <v>0</v>
      </c>
      <c r="S193" s="375"/>
      <c r="T193" s="396"/>
    </row>
    <row r="194" spans="1:21" s="386" customFormat="1" x14ac:dyDescent="0.25">
      <c r="A194" s="409"/>
      <c r="B194" s="406"/>
      <c r="C194" s="406"/>
      <c r="D194" s="406"/>
      <c r="E194" s="407">
        <v>2017</v>
      </c>
      <c r="F194" s="407">
        <v>2018</v>
      </c>
      <c r="G194" s="407">
        <v>2019</v>
      </c>
      <c r="H194" s="407"/>
      <c r="I194" s="407"/>
      <c r="J194" s="407"/>
      <c r="K194" s="407"/>
      <c r="L194" s="407">
        <f>Table146[[#This Row],[Green target threshold]]+Table146[[#This Row],[Green target threshold]]*0.5</f>
        <v>0</v>
      </c>
      <c r="M194" s="407"/>
      <c r="N194" s="407"/>
      <c r="O194" s="407"/>
      <c r="P194" s="407"/>
      <c r="Q194" s="407"/>
      <c r="R194" s="407">
        <f>Table146[[#This Row],[Red target threshold]]-Table146[[#This Row],[Red target threshold]]*0.5</f>
        <v>0</v>
      </c>
      <c r="S194" s="407"/>
      <c r="T194" s="416"/>
    </row>
    <row r="195" spans="1:21" x14ac:dyDescent="0.25">
      <c r="A195" s="418" t="s">
        <v>736</v>
      </c>
      <c r="B195" s="437" t="s">
        <v>1078</v>
      </c>
      <c r="C195" s="437" t="s">
        <v>473</v>
      </c>
      <c r="D195" s="436" t="s">
        <v>904</v>
      </c>
      <c r="E195" s="420">
        <f>((4607+3141.9+3718.4)/(4607+3141.9+3718.4+490.2))*100</f>
        <v>95.900480869747014</v>
      </c>
      <c r="F195" s="420">
        <f>((4662.1+3309.4+3772.1)/(4662.1+3309.4+3772.1+561.3))*100</f>
        <v>95.438402587587063</v>
      </c>
      <c r="G195" s="420">
        <f>((193.03+141.45+157.86)/(193.03+141.45+157.86+28.98))*100</f>
        <v>94.441034297552363</v>
      </c>
      <c r="H195" s="421">
        <v>2014</v>
      </c>
      <c r="I195" s="421">
        <v>95.900480869747014</v>
      </c>
      <c r="J195" s="421">
        <v>2015</v>
      </c>
      <c r="K195" s="411">
        <v>93.835099999999997</v>
      </c>
      <c r="L195" s="411">
        <v>0</v>
      </c>
      <c r="M195" s="421">
        <v>76</v>
      </c>
      <c r="N195" s="421"/>
      <c r="O195" s="421" t="s">
        <v>985</v>
      </c>
      <c r="P195" s="421">
        <f>(M195-K195)*0.5+K195</f>
        <v>84.917550000000006</v>
      </c>
      <c r="Q195" s="421">
        <f>K195</f>
        <v>93.835099999999997</v>
      </c>
      <c r="R195" s="421">
        <v>100</v>
      </c>
      <c r="S195" s="421" t="s">
        <v>1129</v>
      </c>
      <c r="T195" s="360" t="s">
        <v>1082</v>
      </c>
      <c r="U195" s="426" t="s">
        <v>739</v>
      </c>
    </row>
    <row r="196" spans="1:21" x14ac:dyDescent="0.25">
      <c r="A196" s="390"/>
      <c r="B196" s="369"/>
      <c r="C196" s="369"/>
      <c r="D196" s="369"/>
      <c r="E196" s="379"/>
      <c r="F196" s="380"/>
      <c r="G196" s="381"/>
      <c r="H196" s="421"/>
      <c r="I196" s="375"/>
      <c r="J196" s="375"/>
      <c r="K196" s="375"/>
      <c r="L196" s="375">
        <f>Table146[[#This Row],[Green target threshold]]+Table146[[#This Row],[Green target threshold]]*0.5</f>
        <v>0</v>
      </c>
      <c r="M196" s="375"/>
      <c r="N196" s="375"/>
      <c r="O196" s="375"/>
      <c r="P196" s="375"/>
      <c r="Q196" s="375"/>
      <c r="R196" s="375">
        <f>Table146[[#This Row],[Red target threshold]]-Table146[[#This Row],[Red target threshold]]*0.5</f>
        <v>0</v>
      </c>
      <c r="S196" s="375"/>
      <c r="T196" s="396"/>
    </row>
    <row r="197" spans="1:21" x14ac:dyDescent="0.25">
      <c r="A197" s="390"/>
      <c r="B197" s="369"/>
      <c r="C197" s="369"/>
      <c r="D197" s="369"/>
      <c r="E197" s="379"/>
      <c r="F197" s="380"/>
      <c r="G197" s="381"/>
      <c r="H197" s="421"/>
      <c r="I197" s="375"/>
      <c r="J197" s="375"/>
      <c r="K197" s="375"/>
      <c r="L197" s="375">
        <f>Table146[[#This Row],[Green target threshold]]+Table146[[#This Row],[Green target threshold]]*0.5</f>
        <v>0</v>
      </c>
      <c r="M197" s="375"/>
      <c r="N197" s="375"/>
      <c r="O197" s="375"/>
      <c r="P197" s="375"/>
      <c r="Q197" s="375"/>
      <c r="R197" s="375">
        <f>Table146[[#This Row],[Red target threshold]]-Table146[[#This Row],[Red target threshold]]*0.5</f>
        <v>0</v>
      </c>
      <c r="S197" s="375"/>
      <c r="T197" s="396"/>
    </row>
    <row r="198" spans="1:21" x14ac:dyDescent="0.25">
      <c r="A198" s="390"/>
      <c r="B198" s="369"/>
      <c r="C198" s="369"/>
      <c r="D198" s="369"/>
      <c r="E198" s="379"/>
      <c r="F198" s="380"/>
      <c r="G198" s="381"/>
      <c r="H198" s="421"/>
      <c r="I198" s="375"/>
      <c r="J198" s="375"/>
      <c r="K198" s="375"/>
      <c r="L198" s="375">
        <f>Table146[[#This Row],[Green target threshold]]+Table146[[#This Row],[Green target threshold]]*0.5</f>
        <v>0</v>
      </c>
      <c r="M198" s="375"/>
      <c r="N198" s="375"/>
      <c r="O198" s="375"/>
      <c r="P198" s="375"/>
      <c r="Q198" s="375"/>
      <c r="R198" s="375">
        <f>Table146[[#This Row],[Red target threshold]]-Table146[[#This Row],[Red target threshold]]*0.5</f>
        <v>0</v>
      </c>
      <c r="S198" s="375"/>
      <c r="T198" s="396"/>
    </row>
    <row r="199" spans="1:21" x14ac:dyDescent="0.25">
      <c r="A199" s="390"/>
      <c r="B199" s="369"/>
      <c r="C199" s="369"/>
      <c r="D199" s="369"/>
      <c r="E199" s="379"/>
      <c r="F199" s="380"/>
      <c r="G199" s="381"/>
      <c r="H199" s="421"/>
      <c r="I199" s="375"/>
      <c r="J199" s="375"/>
      <c r="K199" s="375"/>
      <c r="L199" s="375">
        <f>Table146[[#This Row],[Green target threshold]]+Table146[[#This Row],[Green target threshold]]*0.5</f>
        <v>0</v>
      </c>
      <c r="M199" s="375"/>
      <c r="N199" s="375"/>
      <c r="O199" s="375"/>
      <c r="P199" s="375"/>
      <c r="Q199" s="375"/>
      <c r="R199" s="375">
        <f>Table146[[#This Row],[Red target threshold]]-Table146[[#This Row],[Red target threshold]]*0.5</f>
        <v>0</v>
      </c>
      <c r="S199" s="375"/>
      <c r="T199" s="396"/>
    </row>
    <row r="200" spans="1:21" x14ac:dyDescent="0.25">
      <c r="A200" s="390"/>
      <c r="B200" s="369"/>
      <c r="C200" s="369"/>
      <c r="D200" s="369"/>
      <c r="E200" s="379"/>
      <c r="F200" s="380"/>
      <c r="G200" s="381"/>
      <c r="H200" s="421"/>
      <c r="I200" s="375"/>
      <c r="J200" s="375"/>
      <c r="K200" s="375"/>
      <c r="L200" s="375">
        <f>Table146[[#This Row],[Green target threshold]]+Table146[[#This Row],[Green target threshold]]*0.5</f>
        <v>0</v>
      </c>
      <c r="M200" s="375"/>
      <c r="N200" s="375"/>
      <c r="O200" s="375"/>
      <c r="P200" s="375"/>
      <c r="Q200" s="375"/>
      <c r="R200" s="375">
        <f>Table146[[#This Row],[Red target threshold]]-Table146[[#This Row],[Red target threshold]]*0.5</f>
        <v>0</v>
      </c>
      <c r="S200" s="375"/>
      <c r="T200" s="396"/>
    </row>
    <row r="201" spans="1:21" x14ac:dyDescent="0.25">
      <c r="A201" s="390"/>
      <c r="B201" s="369"/>
      <c r="C201" s="369"/>
      <c r="D201" s="369"/>
      <c r="E201" s="382"/>
      <c r="F201" s="383"/>
      <c r="G201" s="384"/>
      <c r="H201" s="421"/>
      <c r="I201" s="375"/>
      <c r="J201" s="375"/>
      <c r="K201" s="375"/>
      <c r="L201" s="375">
        <f>Table146[[#This Row],[Green target threshold]]+Table146[[#This Row],[Green target threshold]]*0.5</f>
        <v>0</v>
      </c>
      <c r="M201" s="375"/>
      <c r="N201" s="375"/>
      <c r="O201" s="375"/>
      <c r="P201" s="375"/>
      <c r="Q201" s="375"/>
      <c r="R201" s="375">
        <f>Table146[[#This Row],[Red target threshold]]-Table146[[#This Row],[Red target threshold]]*0.5</f>
        <v>0</v>
      </c>
      <c r="S201" s="375"/>
      <c r="T201" s="396"/>
    </row>
    <row r="202" spans="1:21" x14ac:dyDescent="0.25">
      <c r="A202" s="390"/>
      <c r="B202" s="369"/>
      <c r="C202" s="369"/>
      <c r="D202" s="369"/>
      <c r="E202" s="382"/>
      <c r="F202" s="383"/>
      <c r="G202" s="384"/>
      <c r="H202" s="421"/>
      <c r="I202" s="375"/>
      <c r="J202" s="375"/>
      <c r="K202" s="375"/>
      <c r="L202" s="375">
        <f>Table146[[#This Row],[Green target threshold]]+Table146[[#This Row],[Green target threshold]]*0.5</f>
        <v>0</v>
      </c>
      <c r="M202" s="375"/>
      <c r="N202" s="375"/>
      <c r="O202" s="375"/>
      <c r="P202" s="375"/>
      <c r="Q202" s="375"/>
      <c r="R202" s="375">
        <f>Table146[[#This Row],[Red target threshold]]-Table146[[#This Row],[Red target threshold]]*0.5</f>
        <v>0</v>
      </c>
      <c r="S202" s="375"/>
      <c r="T202" s="396"/>
    </row>
    <row r="203" spans="1:21" x14ac:dyDescent="0.25">
      <c r="A203" s="390"/>
      <c r="B203" s="369"/>
      <c r="C203" s="369"/>
      <c r="D203" s="369"/>
      <c r="E203" s="382"/>
      <c r="F203" s="383"/>
      <c r="G203" s="384"/>
      <c r="H203" s="421"/>
      <c r="I203" s="375"/>
      <c r="J203" s="375"/>
      <c r="K203" s="375"/>
      <c r="L203" s="375">
        <f>Table146[[#This Row],[Green target threshold]]+Table146[[#This Row],[Green target threshold]]*0.5</f>
        <v>0</v>
      </c>
      <c r="M203" s="375"/>
      <c r="N203" s="375"/>
      <c r="O203" s="375"/>
      <c r="P203" s="375"/>
      <c r="Q203" s="375"/>
      <c r="R203" s="375">
        <f>Table146[[#This Row],[Red target threshold]]-Table146[[#This Row],[Red target threshold]]*0.5</f>
        <v>0</v>
      </c>
      <c r="S203" s="375"/>
      <c r="T203" s="396"/>
    </row>
    <row r="204" spans="1:21" x14ac:dyDescent="0.25">
      <c r="A204" s="390"/>
      <c r="B204" s="369"/>
      <c r="C204" s="369"/>
      <c r="D204" s="369"/>
      <c r="E204" s="382"/>
      <c r="F204" s="383"/>
      <c r="G204" s="384"/>
      <c r="H204" s="421"/>
      <c r="I204" s="375"/>
      <c r="J204" s="375"/>
      <c r="K204" s="375"/>
      <c r="L204" s="375">
        <f>Table146[[#This Row],[Green target threshold]]+Table146[[#This Row],[Green target threshold]]*0.5</f>
        <v>0</v>
      </c>
      <c r="M204" s="375"/>
      <c r="N204" s="375"/>
      <c r="O204" s="375"/>
      <c r="P204" s="375"/>
      <c r="Q204" s="375"/>
      <c r="R204" s="375">
        <f>Table146[[#This Row],[Red target threshold]]-Table146[[#This Row],[Red target threshold]]*0.5</f>
        <v>0</v>
      </c>
      <c r="S204" s="375"/>
      <c r="T204" s="396"/>
    </row>
    <row r="205" spans="1:21" x14ac:dyDescent="0.25">
      <c r="A205" s="390"/>
      <c r="B205" s="369"/>
      <c r="C205" s="369"/>
      <c r="D205" s="369"/>
      <c r="E205" s="382"/>
      <c r="F205" s="383"/>
      <c r="G205" s="384"/>
      <c r="H205" s="421"/>
      <c r="I205" s="375"/>
      <c r="J205" s="375"/>
      <c r="K205" s="375"/>
      <c r="L205" s="375">
        <f>Table146[[#This Row],[Green target threshold]]+Table146[[#This Row],[Green target threshold]]*0.5</f>
        <v>0</v>
      </c>
      <c r="M205" s="375"/>
      <c r="N205" s="375"/>
      <c r="O205" s="375"/>
      <c r="P205" s="375"/>
      <c r="Q205" s="375"/>
      <c r="R205" s="375">
        <f>Table146[[#This Row],[Red target threshold]]-Table146[[#This Row],[Red target threshold]]*0.5</f>
        <v>0</v>
      </c>
      <c r="S205" s="375"/>
      <c r="T205" s="396"/>
    </row>
    <row r="206" spans="1:21" s="387" customFormat="1" x14ac:dyDescent="0.25">
      <c r="A206" s="410"/>
      <c r="B206" s="415"/>
      <c r="C206" s="415"/>
      <c r="D206" s="415"/>
      <c r="E206" s="417">
        <v>2005</v>
      </c>
      <c r="F206" s="417">
        <v>2010</v>
      </c>
      <c r="G206" s="417">
        <v>2020</v>
      </c>
      <c r="H206" s="417"/>
      <c r="I206" s="417"/>
      <c r="J206" s="417"/>
      <c r="K206" s="417"/>
      <c r="L206" s="417">
        <f>Table146[[#This Row],[Green target threshold]]+Table146[[#This Row],[Green target threshold]]*0.5</f>
        <v>0</v>
      </c>
      <c r="M206" s="417"/>
      <c r="N206" s="417"/>
      <c r="O206" s="417"/>
      <c r="P206" s="417"/>
      <c r="Q206" s="417"/>
      <c r="R206" s="417">
        <f>Table146[[#This Row],[Red target threshold]]-Table146[[#This Row],[Red target threshold]]*0.5</f>
        <v>0</v>
      </c>
      <c r="S206" s="417"/>
      <c r="T206" s="412"/>
    </row>
    <row r="207" spans="1:21" s="362" customFormat="1" x14ac:dyDescent="0.25">
      <c r="A207" s="418" t="s">
        <v>953</v>
      </c>
      <c r="B207" s="436" t="s">
        <v>21</v>
      </c>
      <c r="C207" s="437" t="s">
        <v>959</v>
      </c>
      <c r="D207" s="436" t="s">
        <v>1084</v>
      </c>
      <c r="E207" s="420">
        <v>1.0200000000000001E-2</v>
      </c>
      <c r="F207" s="420">
        <v>0.11550000000000001</v>
      </c>
      <c r="G207" s="420">
        <v>0.29909999999999998</v>
      </c>
      <c r="H207" s="421">
        <v>2020</v>
      </c>
      <c r="I207" s="421">
        <v>0.29909999999999998</v>
      </c>
      <c r="J207" s="421">
        <v>2015</v>
      </c>
      <c r="K207" s="411">
        <v>0.180646</v>
      </c>
      <c r="L207" s="411">
        <f>Table146[[#This Row],[Green target threshold]]+Table146[[#This Row],[Green target threshold]]*0.5</f>
        <v>3.5999999999999996</v>
      </c>
      <c r="M207" s="421">
        <v>2.4</v>
      </c>
      <c r="N207" s="421"/>
      <c r="O207" s="421" t="s">
        <v>985</v>
      </c>
      <c r="P207" s="421">
        <f>(M207-K207)*0.5+K207</f>
        <v>1.2903230000000001</v>
      </c>
      <c r="Q207" s="421">
        <f>K207</f>
        <v>0.180646</v>
      </c>
      <c r="R207" s="421">
        <f>Table146[[#This Row],[Red target threshold]]-Table146[[#This Row],[Red target threshold]]*0.5</f>
        <v>9.0323000000000001E-2</v>
      </c>
      <c r="S207" s="421" t="s">
        <v>1126</v>
      </c>
      <c r="T207" s="419" t="s">
        <v>979</v>
      </c>
      <c r="U207" s="371" t="s">
        <v>1134</v>
      </c>
    </row>
    <row r="208" spans="1:21" s="362" customFormat="1" x14ac:dyDescent="0.25">
      <c r="A208" s="389"/>
      <c r="B208" s="372"/>
      <c r="C208" s="372"/>
      <c r="D208" s="372"/>
      <c r="E208" s="379"/>
      <c r="F208" s="380"/>
      <c r="G208" s="381"/>
      <c r="H208" s="421"/>
      <c r="I208" s="375"/>
      <c r="J208" s="375"/>
      <c r="K208" s="375"/>
      <c r="L208" s="375">
        <f>Table146[[#This Row],[Green target threshold]]+Table146[[#This Row],[Green target threshold]]*0.5</f>
        <v>0</v>
      </c>
      <c r="M208" s="375"/>
      <c r="N208" s="375"/>
      <c r="O208" s="375"/>
      <c r="P208" s="375"/>
      <c r="Q208" s="375"/>
      <c r="R208" s="375">
        <f>Table146[[#This Row],[Red target threshold]]-Table146[[#This Row],[Red target threshold]]*0.5</f>
        <v>0</v>
      </c>
      <c r="S208" s="375"/>
      <c r="T208" s="399"/>
    </row>
    <row r="209" spans="1:21" s="362" customFormat="1" x14ac:dyDescent="0.25">
      <c r="A209" s="389"/>
      <c r="B209" s="372"/>
      <c r="C209" s="372"/>
      <c r="D209" s="372"/>
      <c r="E209" s="379"/>
      <c r="F209" s="380"/>
      <c r="G209" s="381"/>
      <c r="H209" s="421"/>
      <c r="I209" s="375"/>
      <c r="J209" s="375"/>
      <c r="K209" s="375"/>
      <c r="L209" s="375">
        <f>Table146[[#This Row],[Green target threshold]]+Table146[[#This Row],[Green target threshold]]*0.5</f>
        <v>0</v>
      </c>
      <c r="M209" s="375"/>
      <c r="N209" s="375"/>
      <c r="O209" s="375"/>
      <c r="P209" s="375"/>
      <c r="Q209" s="375"/>
      <c r="R209" s="375">
        <f>Table146[[#This Row],[Red target threshold]]-Table146[[#This Row],[Red target threshold]]*0.5</f>
        <v>0</v>
      </c>
      <c r="S209" s="375"/>
      <c r="T209" s="399"/>
    </row>
    <row r="210" spans="1:21" s="362" customFormat="1" x14ac:dyDescent="0.25">
      <c r="A210" s="389"/>
      <c r="B210" s="372"/>
      <c r="C210" s="372"/>
      <c r="D210" s="372"/>
      <c r="E210" s="379"/>
      <c r="F210" s="380"/>
      <c r="G210" s="381"/>
      <c r="H210" s="421"/>
      <c r="I210" s="375"/>
      <c r="J210" s="375"/>
      <c r="K210" s="375"/>
      <c r="L210" s="375">
        <f>Table146[[#This Row],[Green target threshold]]+Table146[[#This Row],[Green target threshold]]*0.5</f>
        <v>0</v>
      </c>
      <c r="M210" s="375"/>
      <c r="N210" s="375"/>
      <c r="O210" s="375"/>
      <c r="P210" s="375"/>
      <c r="Q210" s="375"/>
      <c r="R210" s="375">
        <f>Table146[[#This Row],[Red target threshold]]-Table146[[#This Row],[Red target threshold]]*0.5</f>
        <v>0</v>
      </c>
      <c r="S210" s="375"/>
      <c r="T210" s="399"/>
    </row>
    <row r="211" spans="1:21" s="362" customFormat="1" x14ac:dyDescent="0.25">
      <c r="A211" s="389"/>
      <c r="B211" s="372"/>
      <c r="C211" s="372"/>
      <c r="D211" s="372"/>
      <c r="E211" s="379"/>
      <c r="F211" s="380"/>
      <c r="G211" s="381"/>
      <c r="H211" s="421"/>
      <c r="I211" s="375"/>
      <c r="J211" s="375"/>
      <c r="K211" s="375"/>
      <c r="L211" s="431">
        <f>Table146[[#This Row],[Green target threshold]]+Table146[[#This Row],[Green target threshold]]*0.5</f>
        <v>0</v>
      </c>
      <c r="M211" s="375"/>
      <c r="N211" s="375"/>
      <c r="O211" s="375"/>
      <c r="P211" s="431"/>
      <c r="Q211" s="431"/>
      <c r="R211" s="431">
        <f>Table146[[#This Row],[Red target threshold]]-Table146[[#This Row],[Red target threshold]]*0.5</f>
        <v>0</v>
      </c>
      <c r="S211" s="375"/>
      <c r="T211" s="399"/>
    </row>
    <row r="212" spans="1:21" s="362" customFormat="1" x14ac:dyDescent="0.25">
      <c r="A212" s="389"/>
      <c r="B212" s="372"/>
      <c r="C212" s="372"/>
      <c r="D212" s="372"/>
      <c r="E212" s="379"/>
      <c r="F212" s="380"/>
      <c r="G212" s="381"/>
      <c r="H212" s="421"/>
      <c r="I212" s="375"/>
      <c r="J212" s="375"/>
      <c r="K212" s="375"/>
      <c r="L212" s="431">
        <f>Table146[[#This Row],[Green target threshold]]+Table146[[#This Row],[Green target threshold]]*0.5</f>
        <v>0</v>
      </c>
      <c r="M212" s="375"/>
      <c r="N212" s="375"/>
      <c r="O212" s="375"/>
      <c r="P212" s="431"/>
      <c r="Q212" s="431"/>
      <c r="R212" s="431">
        <f>Table146[[#This Row],[Red target threshold]]-Table146[[#This Row],[Red target threshold]]*0.5</f>
        <v>0</v>
      </c>
      <c r="S212" s="375"/>
      <c r="T212" s="399"/>
    </row>
    <row r="213" spans="1:21" s="362" customFormat="1" x14ac:dyDescent="0.25">
      <c r="A213" s="389"/>
      <c r="B213" s="372"/>
      <c r="C213" s="372"/>
      <c r="D213" s="372"/>
      <c r="E213" s="382"/>
      <c r="F213" s="383"/>
      <c r="G213" s="384"/>
      <c r="H213" s="421"/>
      <c r="I213" s="375"/>
      <c r="J213" s="375"/>
      <c r="K213" s="375"/>
      <c r="L213" s="375">
        <f>Table146[[#This Row],[Green target threshold]]+Table146[[#This Row],[Green target threshold]]*0.5</f>
        <v>0</v>
      </c>
      <c r="M213" s="375"/>
      <c r="N213" s="375"/>
      <c r="O213" s="375"/>
      <c r="P213" s="375"/>
      <c r="Q213" s="375"/>
      <c r="R213" s="375">
        <f>Table146[[#This Row],[Red target threshold]]-Table146[[#This Row],[Red target threshold]]*0.5</f>
        <v>0</v>
      </c>
      <c r="S213" s="375"/>
      <c r="T213" s="399"/>
    </row>
    <row r="214" spans="1:21" s="362" customFormat="1" x14ac:dyDescent="0.25">
      <c r="A214" s="389"/>
      <c r="B214" s="372"/>
      <c r="C214" s="372"/>
      <c r="D214" s="372"/>
      <c r="E214" s="382"/>
      <c r="F214" s="383"/>
      <c r="G214" s="384"/>
      <c r="H214" s="421"/>
      <c r="I214" s="375"/>
      <c r="J214" s="375"/>
      <c r="K214" s="375"/>
      <c r="L214" s="375">
        <f>Table146[[#This Row],[Green target threshold]]+Table146[[#This Row],[Green target threshold]]*0.5</f>
        <v>0</v>
      </c>
      <c r="M214" s="375"/>
      <c r="N214" s="375"/>
      <c r="O214" s="375"/>
      <c r="P214" s="375"/>
      <c r="Q214" s="375"/>
      <c r="R214" s="375">
        <f>Table146[[#This Row],[Red target threshold]]-Table146[[#This Row],[Red target threshold]]*0.5</f>
        <v>0</v>
      </c>
      <c r="S214" s="375"/>
      <c r="T214" s="399"/>
    </row>
    <row r="215" spans="1:21" s="362" customFormat="1" x14ac:dyDescent="0.25">
      <c r="A215" s="389"/>
      <c r="B215" s="372"/>
      <c r="C215" s="372"/>
      <c r="D215" s="372"/>
      <c r="E215" s="382"/>
      <c r="F215" s="383"/>
      <c r="G215" s="384"/>
      <c r="H215" s="421"/>
      <c r="I215" s="375"/>
      <c r="J215" s="375"/>
      <c r="K215" s="375"/>
      <c r="L215" s="431">
        <f>Table146[[#This Row],[Green target threshold]]+Table146[[#This Row],[Green target threshold]]*0.5</f>
        <v>0</v>
      </c>
      <c r="M215" s="375"/>
      <c r="N215" s="375"/>
      <c r="O215" s="375"/>
      <c r="P215" s="431"/>
      <c r="Q215" s="431"/>
      <c r="R215" s="431">
        <f>Table146[[#This Row],[Red target threshold]]-Table146[[#This Row],[Red target threshold]]*0.5</f>
        <v>0</v>
      </c>
      <c r="S215" s="375"/>
      <c r="T215" s="399"/>
    </row>
    <row r="216" spans="1:21" s="362" customFormat="1" x14ac:dyDescent="0.25">
      <c r="A216" s="389"/>
      <c r="B216" s="372"/>
      <c r="C216" s="372"/>
      <c r="D216" s="372"/>
      <c r="E216" s="382"/>
      <c r="F216" s="383"/>
      <c r="G216" s="384"/>
      <c r="H216" s="421"/>
      <c r="I216" s="375"/>
      <c r="J216" s="375"/>
      <c r="K216" s="375"/>
      <c r="L216" s="431">
        <f>Table146[[#This Row],[Green target threshold]]+Table146[[#This Row],[Green target threshold]]*0.5</f>
        <v>0</v>
      </c>
      <c r="M216" s="375"/>
      <c r="N216" s="375"/>
      <c r="O216" s="375"/>
      <c r="P216" s="431"/>
      <c r="Q216" s="431"/>
      <c r="R216" s="431">
        <f>Table146[[#This Row],[Red target threshold]]-Table146[[#This Row],[Red target threshold]]*0.5</f>
        <v>0</v>
      </c>
      <c r="S216" s="375"/>
      <c r="T216" s="399"/>
    </row>
    <row r="217" spans="1:21" s="362" customFormat="1" x14ac:dyDescent="0.25">
      <c r="A217" s="389"/>
      <c r="B217" s="372"/>
      <c r="C217" s="372"/>
      <c r="D217" s="372"/>
      <c r="E217" s="382"/>
      <c r="F217" s="383"/>
      <c r="G217" s="384"/>
      <c r="H217" s="421"/>
      <c r="I217" s="375"/>
      <c r="J217" s="375"/>
      <c r="K217" s="375"/>
      <c r="L217" s="431">
        <f>Table146[[#This Row],[Green target threshold]]+Table146[[#This Row],[Green target threshold]]*0.5</f>
        <v>0</v>
      </c>
      <c r="M217" s="375"/>
      <c r="N217" s="375"/>
      <c r="O217" s="375"/>
      <c r="P217" s="431"/>
      <c r="Q217" s="431"/>
      <c r="R217" s="431">
        <f>Table146[[#This Row],[Red target threshold]]-Table146[[#This Row],[Red target threshold]]*0.5</f>
        <v>0</v>
      </c>
      <c r="S217" s="375"/>
      <c r="T217" s="399"/>
    </row>
    <row r="218" spans="1:21" s="387" customFormat="1" x14ac:dyDescent="0.25">
      <c r="A218" s="410"/>
      <c r="B218" s="415"/>
      <c r="C218" s="415"/>
      <c r="D218" s="434"/>
      <c r="E218" s="417">
        <v>2005</v>
      </c>
      <c r="F218" s="417">
        <v>2010</v>
      </c>
      <c r="G218" s="417">
        <v>2020</v>
      </c>
      <c r="H218" s="417"/>
      <c r="I218" s="417"/>
      <c r="J218" s="417"/>
      <c r="K218" s="417"/>
      <c r="L218" s="417">
        <f>Table146[[#This Row],[Green target threshold]]+Table146[[#This Row],[Green target threshold]]*0.5</f>
        <v>0</v>
      </c>
      <c r="M218" s="417"/>
      <c r="N218" s="417"/>
      <c r="O218" s="417"/>
      <c r="P218" s="417"/>
      <c r="Q218" s="417"/>
      <c r="R218" s="417">
        <f>Table146[[#This Row],[Red target threshold]]-Table146[[#This Row],[Red target threshold]]*0.5</f>
        <v>0</v>
      </c>
      <c r="S218" s="417"/>
      <c r="T218" s="412"/>
    </row>
    <row r="219" spans="1:21" s="362" customFormat="1" x14ac:dyDescent="0.25">
      <c r="A219" s="418" t="s">
        <v>954</v>
      </c>
      <c r="B219" s="436" t="s">
        <v>22</v>
      </c>
      <c r="C219" s="437" t="s">
        <v>959</v>
      </c>
      <c r="D219" s="436" t="s">
        <v>1084</v>
      </c>
      <c r="E219" s="420">
        <v>0.36770000000000003</v>
      </c>
      <c r="F219" s="420">
        <v>0.57010000000000005</v>
      </c>
      <c r="G219" s="420">
        <v>1.1954</v>
      </c>
      <c r="H219" s="421">
        <v>2020</v>
      </c>
      <c r="I219" s="421">
        <v>1.1954</v>
      </c>
      <c r="J219" s="421">
        <v>2015</v>
      </c>
      <c r="K219" s="411">
        <v>0.14058100000000001</v>
      </c>
      <c r="L219" s="411">
        <f>Table146[[#This Row],[Green target threshold]]+Table146[[#This Row],[Green target threshold]]*0.5</f>
        <v>11.850000000000001</v>
      </c>
      <c r="M219" s="421">
        <v>7.9</v>
      </c>
      <c r="N219" s="421"/>
      <c r="O219" s="421" t="s">
        <v>985</v>
      </c>
      <c r="P219" s="421">
        <f>(M219-K219)*0.5+K219</f>
        <v>4.0202904999999998</v>
      </c>
      <c r="Q219" s="421">
        <f>K219</f>
        <v>0.14058100000000001</v>
      </c>
      <c r="R219" s="421">
        <f>Table146[[#This Row],[Red target threshold]]-Table146[[#This Row],[Red target threshold]]*0.5</f>
        <v>7.0290500000000006E-2</v>
      </c>
      <c r="S219" s="421" t="s">
        <v>1127</v>
      </c>
      <c r="T219" s="419" t="s">
        <v>979</v>
      </c>
      <c r="U219" s="371" t="s">
        <v>1133</v>
      </c>
    </row>
    <row r="220" spans="1:21" s="362" customFormat="1" x14ac:dyDescent="0.25">
      <c r="A220" s="389"/>
      <c r="B220" s="372"/>
      <c r="C220" s="372"/>
      <c r="D220" s="372"/>
      <c r="E220" s="379"/>
      <c r="F220" s="380"/>
      <c r="G220" s="381"/>
      <c r="H220" s="421"/>
      <c r="I220" s="375"/>
      <c r="J220" s="375"/>
      <c r="K220" s="375"/>
      <c r="L220" s="375">
        <f>Table146[[#This Row],[Green target threshold]]+Table146[[#This Row],[Green target threshold]]*0.5</f>
        <v>0</v>
      </c>
      <c r="M220" s="375"/>
      <c r="N220" s="375"/>
      <c r="O220" s="375"/>
      <c r="P220" s="375"/>
      <c r="Q220" s="375"/>
      <c r="R220" s="375">
        <f>Table146[[#This Row],[Red target threshold]]-Table146[[#This Row],[Red target threshold]]*0.5</f>
        <v>0</v>
      </c>
      <c r="S220" s="375"/>
      <c r="T220" s="399"/>
    </row>
    <row r="221" spans="1:21" s="362" customFormat="1" x14ac:dyDescent="0.25">
      <c r="A221" s="389"/>
      <c r="B221" s="372"/>
      <c r="C221" s="372"/>
      <c r="D221" s="372"/>
      <c r="E221" s="379"/>
      <c r="F221" s="380"/>
      <c r="G221" s="381"/>
      <c r="H221" s="421"/>
      <c r="I221" s="375"/>
      <c r="J221" s="375"/>
      <c r="K221" s="375"/>
      <c r="L221" s="375">
        <f>Table146[[#This Row],[Green target threshold]]+Table146[[#This Row],[Green target threshold]]*0.5</f>
        <v>0</v>
      </c>
      <c r="M221" s="375"/>
      <c r="N221" s="375"/>
      <c r="O221" s="375"/>
      <c r="P221" s="375"/>
      <c r="Q221" s="375"/>
      <c r="R221" s="375">
        <f>Table146[[#This Row],[Red target threshold]]-Table146[[#This Row],[Red target threshold]]*0.5</f>
        <v>0</v>
      </c>
      <c r="S221" s="375"/>
      <c r="T221" s="399"/>
    </row>
    <row r="222" spans="1:21" s="362" customFormat="1" x14ac:dyDescent="0.25">
      <c r="A222" s="389"/>
      <c r="B222" s="372"/>
      <c r="C222" s="372"/>
      <c r="D222" s="372"/>
      <c r="E222" s="379"/>
      <c r="F222" s="380"/>
      <c r="G222" s="381"/>
      <c r="H222" s="421"/>
      <c r="I222" s="375"/>
      <c r="J222" s="375"/>
      <c r="K222" s="375"/>
      <c r="L222" s="375">
        <f>Table146[[#This Row],[Green target threshold]]+Table146[[#This Row],[Green target threshold]]*0.5</f>
        <v>0</v>
      </c>
      <c r="M222" s="375"/>
      <c r="N222" s="375"/>
      <c r="O222" s="375"/>
      <c r="P222" s="375"/>
      <c r="Q222" s="375"/>
      <c r="R222" s="375">
        <f>Table146[[#This Row],[Red target threshold]]-Table146[[#This Row],[Red target threshold]]*0.5</f>
        <v>0</v>
      </c>
      <c r="S222" s="375"/>
      <c r="T222" s="399"/>
    </row>
    <row r="223" spans="1:21" s="362" customFormat="1" x14ac:dyDescent="0.25">
      <c r="A223" s="389"/>
      <c r="B223" s="372"/>
      <c r="C223" s="372"/>
      <c r="D223" s="372"/>
      <c r="E223" s="379"/>
      <c r="F223" s="380"/>
      <c r="G223" s="381"/>
      <c r="H223" s="421"/>
      <c r="I223" s="375"/>
      <c r="J223" s="375"/>
      <c r="K223" s="375"/>
      <c r="L223" s="431">
        <f>Table146[[#This Row],[Green target threshold]]+Table146[[#This Row],[Green target threshold]]*0.5</f>
        <v>0</v>
      </c>
      <c r="M223" s="375"/>
      <c r="N223" s="375"/>
      <c r="O223" s="375"/>
      <c r="P223" s="431"/>
      <c r="Q223" s="431"/>
      <c r="R223" s="431">
        <f>Table146[[#This Row],[Red target threshold]]-Table146[[#This Row],[Red target threshold]]*0.5</f>
        <v>0</v>
      </c>
      <c r="S223" s="375"/>
      <c r="T223" s="399"/>
    </row>
    <row r="224" spans="1:21" s="362" customFormat="1" x14ac:dyDescent="0.25">
      <c r="A224" s="389"/>
      <c r="B224" s="372"/>
      <c r="C224" s="372"/>
      <c r="D224" s="372"/>
      <c r="E224" s="379"/>
      <c r="F224" s="380"/>
      <c r="G224" s="381"/>
      <c r="H224" s="421"/>
      <c r="I224" s="375"/>
      <c r="J224" s="375"/>
      <c r="K224" s="375"/>
      <c r="L224" s="431">
        <f>Table146[[#This Row],[Green target threshold]]+Table146[[#This Row],[Green target threshold]]*0.5</f>
        <v>0</v>
      </c>
      <c r="M224" s="375"/>
      <c r="N224" s="375"/>
      <c r="O224" s="375"/>
      <c r="P224" s="431"/>
      <c r="Q224" s="431"/>
      <c r="R224" s="431">
        <f>Table146[[#This Row],[Red target threshold]]-Table146[[#This Row],[Red target threshold]]*0.5</f>
        <v>0</v>
      </c>
      <c r="S224" s="375"/>
      <c r="T224" s="399"/>
    </row>
    <row r="225" spans="1:20" s="362" customFormat="1" x14ac:dyDescent="0.25">
      <c r="A225" s="389"/>
      <c r="B225" s="372"/>
      <c r="C225" s="372"/>
      <c r="D225" s="372"/>
      <c r="E225" s="382"/>
      <c r="F225" s="383"/>
      <c r="G225" s="384"/>
      <c r="H225" s="421"/>
      <c r="I225" s="375"/>
      <c r="J225" s="375"/>
      <c r="K225" s="375"/>
      <c r="L225" s="375">
        <f>Table146[[#This Row],[Green target threshold]]+Table146[[#This Row],[Green target threshold]]*0.5</f>
        <v>0</v>
      </c>
      <c r="M225" s="375"/>
      <c r="N225" s="375"/>
      <c r="O225" s="375"/>
      <c r="P225" s="375"/>
      <c r="Q225" s="375"/>
      <c r="R225" s="375">
        <f>Table146[[#This Row],[Red target threshold]]-Table146[[#This Row],[Red target threshold]]*0.5</f>
        <v>0</v>
      </c>
      <c r="S225" s="375"/>
      <c r="T225" s="399"/>
    </row>
    <row r="226" spans="1:20" s="362" customFormat="1" x14ac:dyDescent="0.25">
      <c r="A226" s="389"/>
      <c r="B226" s="372"/>
      <c r="C226" s="372"/>
      <c r="D226" s="372"/>
      <c r="E226" s="382"/>
      <c r="F226" s="383"/>
      <c r="G226" s="384"/>
      <c r="H226" s="421"/>
      <c r="I226" s="375"/>
      <c r="J226" s="375"/>
      <c r="K226" s="375"/>
      <c r="L226" s="375">
        <f>Table146[[#This Row],[Green target threshold]]+Table146[[#This Row],[Green target threshold]]*0.5</f>
        <v>0</v>
      </c>
      <c r="M226" s="375"/>
      <c r="N226" s="375"/>
      <c r="O226" s="375"/>
      <c r="P226" s="375"/>
      <c r="Q226" s="375"/>
      <c r="R226" s="375">
        <f>Table146[[#This Row],[Red target threshold]]-Table146[[#This Row],[Red target threshold]]*0.5</f>
        <v>0</v>
      </c>
      <c r="S226" s="375"/>
      <c r="T226" s="399"/>
    </row>
    <row r="227" spans="1:20" s="362" customFormat="1" x14ac:dyDescent="0.25">
      <c r="A227" s="389"/>
      <c r="B227" s="372"/>
      <c r="C227" s="372"/>
      <c r="D227" s="372"/>
      <c r="E227" s="382"/>
      <c r="F227" s="383"/>
      <c r="G227" s="384"/>
      <c r="H227" s="421"/>
      <c r="I227" s="375"/>
      <c r="J227" s="375"/>
      <c r="K227" s="375"/>
      <c r="L227" s="431">
        <f>Table146[[#This Row],[Green target threshold]]+Table146[[#This Row],[Green target threshold]]*0.5</f>
        <v>0</v>
      </c>
      <c r="M227" s="375"/>
      <c r="N227" s="375"/>
      <c r="O227" s="375"/>
      <c r="P227" s="431"/>
      <c r="Q227" s="431"/>
      <c r="R227" s="431">
        <f>Table146[[#This Row],[Red target threshold]]-Table146[[#This Row],[Red target threshold]]*0.5</f>
        <v>0</v>
      </c>
      <c r="S227" s="375"/>
      <c r="T227" s="399"/>
    </row>
    <row r="228" spans="1:20" s="362" customFormat="1" x14ac:dyDescent="0.25">
      <c r="A228" s="389"/>
      <c r="B228" s="372"/>
      <c r="C228" s="372"/>
      <c r="D228" s="372"/>
      <c r="E228" s="382"/>
      <c r="F228" s="383"/>
      <c r="G228" s="384"/>
      <c r="H228" s="421"/>
      <c r="I228" s="375"/>
      <c r="J228" s="375"/>
      <c r="K228" s="375"/>
      <c r="L228" s="431">
        <f>Table146[[#This Row],[Green target threshold]]+Table146[[#This Row],[Green target threshold]]*0.5</f>
        <v>0</v>
      </c>
      <c r="M228" s="375"/>
      <c r="N228" s="375"/>
      <c r="O228" s="375"/>
      <c r="P228" s="431"/>
      <c r="Q228" s="431"/>
      <c r="R228" s="431">
        <f>Table146[[#This Row],[Red target threshold]]-Table146[[#This Row],[Red target threshold]]*0.5</f>
        <v>0</v>
      </c>
      <c r="S228" s="375"/>
      <c r="T228" s="399"/>
    </row>
    <row r="229" spans="1:20" s="362" customFormat="1" x14ac:dyDescent="0.25">
      <c r="A229" s="389"/>
      <c r="B229" s="372"/>
      <c r="C229" s="372"/>
      <c r="D229" s="372"/>
      <c r="E229" s="382"/>
      <c r="F229" s="383"/>
      <c r="G229" s="384"/>
      <c r="H229" s="421"/>
      <c r="I229" s="375"/>
      <c r="J229" s="375"/>
      <c r="K229" s="375"/>
      <c r="L229" s="431">
        <f>Table146[[#This Row],[Green target threshold]]+Table146[[#This Row],[Green target threshold]]*0.5</f>
        <v>0</v>
      </c>
      <c r="M229" s="375"/>
      <c r="N229" s="375"/>
      <c r="O229" s="375"/>
      <c r="P229" s="431"/>
      <c r="Q229" s="431"/>
      <c r="R229" s="431">
        <f>Table146[[#This Row],[Red target threshold]]-Table146[[#This Row],[Red target threshold]]*0.5</f>
        <v>0</v>
      </c>
      <c r="S229" s="375"/>
      <c r="T229" s="399"/>
    </row>
    <row r="230" spans="1:20" s="387" customFormat="1" x14ac:dyDescent="0.25">
      <c r="A230" s="410"/>
      <c r="B230" s="415"/>
      <c r="C230" s="415"/>
      <c r="D230" s="415"/>
      <c r="E230" s="417">
        <v>2005</v>
      </c>
      <c r="F230" s="417">
        <v>2010</v>
      </c>
      <c r="G230" s="417">
        <v>2020</v>
      </c>
      <c r="H230" s="417"/>
      <c r="I230" s="417"/>
      <c r="J230" s="417"/>
      <c r="K230" s="417"/>
      <c r="L230" s="417">
        <f>Table146[[#This Row],[Green target threshold]]+Table146[[#This Row],[Green target threshold]]*0.5</f>
        <v>0</v>
      </c>
      <c r="M230" s="417"/>
      <c r="N230" s="417"/>
      <c r="O230" s="417"/>
      <c r="P230" s="417"/>
      <c r="Q230" s="417"/>
      <c r="R230" s="417">
        <f>Table146[[#This Row],[Red target threshold]]-Table146[[#This Row],[Red target threshold]]*0.5</f>
        <v>0</v>
      </c>
      <c r="S230" s="417"/>
      <c r="T230" s="412"/>
    </row>
    <row r="231" spans="1:20" s="362" customFormat="1" x14ac:dyDescent="0.25">
      <c r="A231" s="418" t="s">
        <v>955</v>
      </c>
      <c r="B231" s="436" t="s">
        <v>23</v>
      </c>
      <c r="C231" s="437" t="s">
        <v>959</v>
      </c>
      <c r="D231" s="436" t="s">
        <v>1083</v>
      </c>
      <c r="E231" s="420">
        <v>39.684927036923398</v>
      </c>
      <c r="F231" s="420">
        <v>37.299186992214103</v>
      </c>
      <c r="G231" s="420">
        <v>42.6177957241024</v>
      </c>
      <c r="H231" s="421">
        <v>2020</v>
      </c>
      <c r="I231" s="421">
        <v>42.6177957241024</v>
      </c>
      <c r="J231" s="421">
        <v>2015</v>
      </c>
      <c r="K231" s="411">
        <v>19.264299999999999</v>
      </c>
      <c r="L231" s="411">
        <f>Table146[[#This Row],[Green target threshold]]+Table146[[#This Row],[Green target threshold]]*0.5</f>
        <v>83.104701661999684</v>
      </c>
      <c r="M231" s="421">
        <f>Table146[[#This Row],[Data reference value]]+Table146[[#This Row],[Data reference value]]*Table146[[#This Row],[Improvement rate]]</f>
        <v>55.403134441333123</v>
      </c>
      <c r="N231" s="421">
        <v>0.3</v>
      </c>
      <c r="O231" s="421" t="s">
        <v>1140</v>
      </c>
      <c r="P231" s="421">
        <f>(Table146[[#This Row],[Green target threshold]]-Table146[[#This Row],[Model reference value]])*0.5+Table146[[#This Row],[Model reference value]]</f>
        <v>37.333717220666557</v>
      </c>
      <c r="Q231" s="421">
        <f>Table146[[#This Row],[Model reference value]]</f>
        <v>19.264299999999999</v>
      </c>
      <c r="R231" s="421">
        <f>Table146[[#This Row],[Red target threshold]]-Table146[[#This Row],[Red target threshold]]*0.5</f>
        <v>9.6321499999999993</v>
      </c>
      <c r="S231" s="421" t="s">
        <v>1087</v>
      </c>
      <c r="T231" s="419" t="s">
        <v>979</v>
      </c>
    </row>
    <row r="232" spans="1:20" s="362" customFormat="1" x14ac:dyDescent="0.25">
      <c r="A232" s="389"/>
      <c r="B232" s="372"/>
      <c r="C232" s="372"/>
      <c r="D232" s="372"/>
      <c r="E232" s="379"/>
      <c r="F232" s="380"/>
      <c r="G232" s="381"/>
      <c r="H232" s="421"/>
      <c r="I232" s="375"/>
      <c r="J232" s="375"/>
      <c r="K232" s="375"/>
      <c r="L232" s="375">
        <f>Table146[[#This Row],[Green target threshold]]+Table146[[#This Row],[Green target threshold]]*0.5</f>
        <v>0</v>
      </c>
      <c r="M232" s="375"/>
      <c r="N232" s="375"/>
      <c r="O232" s="375"/>
      <c r="P232" s="375"/>
      <c r="Q232" s="375"/>
      <c r="R232" s="375">
        <f>Table146[[#This Row],[Red target threshold]]-Table146[[#This Row],[Red target threshold]]*0.5</f>
        <v>0</v>
      </c>
      <c r="S232" s="375"/>
      <c r="T232" s="399"/>
    </row>
    <row r="233" spans="1:20" s="362" customFormat="1" x14ac:dyDescent="0.25">
      <c r="A233" s="389"/>
      <c r="B233" s="372"/>
      <c r="C233" s="372"/>
      <c r="D233" s="372"/>
      <c r="E233" s="379"/>
      <c r="F233" s="380"/>
      <c r="G233" s="381"/>
      <c r="H233" s="421"/>
      <c r="I233" s="375"/>
      <c r="J233" s="375"/>
      <c r="K233" s="375"/>
      <c r="L233" s="375">
        <f>Table146[[#This Row],[Green target threshold]]+Table146[[#This Row],[Green target threshold]]*0.5</f>
        <v>0</v>
      </c>
      <c r="M233" s="375"/>
      <c r="N233" s="375"/>
      <c r="O233" s="375"/>
      <c r="P233" s="375"/>
      <c r="Q233" s="375"/>
      <c r="R233" s="375">
        <f>Table146[[#This Row],[Red target threshold]]-Table146[[#This Row],[Red target threshold]]*0.5</f>
        <v>0</v>
      </c>
      <c r="S233" s="375"/>
      <c r="T233" s="399"/>
    </row>
    <row r="234" spans="1:20" s="362" customFormat="1" x14ac:dyDescent="0.25">
      <c r="A234" s="389"/>
      <c r="B234" s="372"/>
      <c r="C234" s="372"/>
      <c r="D234" s="372"/>
      <c r="E234" s="379"/>
      <c r="F234" s="380"/>
      <c r="G234" s="381"/>
      <c r="H234" s="421"/>
      <c r="I234" s="375"/>
      <c r="J234" s="375"/>
      <c r="K234" s="375"/>
      <c r="L234" s="375">
        <f>Table146[[#This Row],[Green target threshold]]+Table146[[#This Row],[Green target threshold]]*0.5</f>
        <v>0</v>
      </c>
      <c r="M234" s="375"/>
      <c r="N234" s="375"/>
      <c r="O234" s="375"/>
      <c r="P234" s="375"/>
      <c r="Q234" s="375"/>
      <c r="R234" s="375">
        <f>Table146[[#This Row],[Red target threshold]]-Table146[[#This Row],[Red target threshold]]*0.5</f>
        <v>0</v>
      </c>
      <c r="S234" s="375"/>
      <c r="T234" s="399"/>
    </row>
    <row r="235" spans="1:20" s="362" customFormat="1" x14ac:dyDescent="0.25">
      <c r="A235" s="389"/>
      <c r="B235" s="372"/>
      <c r="C235" s="372"/>
      <c r="D235" s="372"/>
      <c r="E235" s="379"/>
      <c r="F235" s="380"/>
      <c r="G235" s="381"/>
      <c r="H235" s="421"/>
      <c r="I235" s="375"/>
      <c r="J235" s="375"/>
      <c r="K235" s="375"/>
      <c r="L235" s="431">
        <f>Table146[[#This Row],[Green target threshold]]+Table146[[#This Row],[Green target threshold]]*0.5</f>
        <v>0</v>
      </c>
      <c r="M235" s="375"/>
      <c r="N235" s="375"/>
      <c r="O235" s="375"/>
      <c r="P235" s="431"/>
      <c r="Q235" s="431"/>
      <c r="R235" s="431">
        <f>Table146[[#This Row],[Red target threshold]]-Table146[[#This Row],[Red target threshold]]*0.5</f>
        <v>0</v>
      </c>
      <c r="S235" s="375"/>
      <c r="T235" s="399"/>
    </row>
    <row r="236" spans="1:20" s="362" customFormat="1" x14ac:dyDescent="0.25">
      <c r="A236" s="389"/>
      <c r="B236" s="372"/>
      <c r="C236" s="372"/>
      <c r="D236" s="372"/>
      <c r="E236" s="379"/>
      <c r="F236" s="380"/>
      <c r="G236" s="381"/>
      <c r="H236" s="421"/>
      <c r="I236" s="375"/>
      <c r="J236" s="375"/>
      <c r="K236" s="375"/>
      <c r="L236" s="431">
        <f>Table146[[#This Row],[Green target threshold]]+Table146[[#This Row],[Green target threshold]]*0.5</f>
        <v>0</v>
      </c>
      <c r="M236" s="375"/>
      <c r="N236" s="375"/>
      <c r="O236" s="375"/>
      <c r="P236" s="431"/>
      <c r="Q236" s="431"/>
      <c r="R236" s="431">
        <f>Table146[[#This Row],[Red target threshold]]-Table146[[#This Row],[Red target threshold]]*0.5</f>
        <v>0</v>
      </c>
      <c r="S236" s="375"/>
      <c r="T236" s="399"/>
    </row>
    <row r="237" spans="1:20" s="362" customFormat="1" x14ac:dyDescent="0.25">
      <c r="A237" s="389"/>
      <c r="B237" s="372"/>
      <c r="C237" s="372"/>
      <c r="D237" s="372"/>
      <c r="E237" s="382"/>
      <c r="F237" s="383"/>
      <c r="G237" s="384"/>
      <c r="H237" s="421"/>
      <c r="I237" s="375"/>
      <c r="J237" s="375"/>
      <c r="K237" s="375"/>
      <c r="L237" s="375">
        <f>Table146[[#This Row],[Green target threshold]]+Table146[[#This Row],[Green target threshold]]*0.5</f>
        <v>0</v>
      </c>
      <c r="M237" s="375"/>
      <c r="N237" s="375"/>
      <c r="O237" s="375"/>
      <c r="P237" s="375"/>
      <c r="Q237" s="375"/>
      <c r="R237" s="375">
        <f>Table146[[#This Row],[Red target threshold]]-Table146[[#This Row],[Red target threshold]]*0.5</f>
        <v>0</v>
      </c>
      <c r="S237" s="375"/>
      <c r="T237" s="399"/>
    </row>
    <row r="238" spans="1:20" s="362" customFormat="1" x14ac:dyDescent="0.25">
      <c r="A238" s="389"/>
      <c r="B238" s="372"/>
      <c r="C238" s="372"/>
      <c r="D238" s="372"/>
      <c r="E238" s="382"/>
      <c r="F238" s="383"/>
      <c r="G238" s="384"/>
      <c r="H238" s="421"/>
      <c r="I238" s="375"/>
      <c r="J238" s="375"/>
      <c r="K238" s="375"/>
      <c r="L238" s="375">
        <f>Table146[[#This Row],[Green target threshold]]+Table146[[#This Row],[Green target threshold]]*0.5</f>
        <v>0</v>
      </c>
      <c r="M238" s="375"/>
      <c r="N238" s="375"/>
      <c r="O238" s="375"/>
      <c r="P238" s="375"/>
      <c r="Q238" s="375"/>
      <c r="R238" s="375">
        <f>Table146[[#This Row],[Red target threshold]]-Table146[[#This Row],[Red target threshold]]*0.5</f>
        <v>0</v>
      </c>
      <c r="S238" s="375"/>
      <c r="T238" s="399"/>
    </row>
    <row r="239" spans="1:20" s="362" customFormat="1" x14ac:dyDescent="0.25">
      <c r="A239" s="389"/>
      <c r="B239" s="372"/>
      <c r="C239" s="372"/>
      <c r="D239" s="372"/>
      <c r="E239" s="382"/>
      <c r="F239" s="383"/>
      <c r="G239" s="384"/>
      <c r="H239" s="421"/>
      <c r="I239" s="375"/>
      <c r="J239" s="375"/>
      <c r="K239" s="375"/>
      <c r="L239" s="431">
        <f>Table146[[#This Row],[Green target threshold]]+Table146[[#This Row],[Green target threshold]]*0.5</f>
        <v>0</v>
      </c>
      <c r="M239" s="375"/>
      <c r="N239" s="375"/>
      <c r="O239" s="375"/>
      <c r="P239" s="431"/>
      <c r="Q239" s="431"/>
      <c r="R239" s="431">
        <f>Table146[[#This Row],[Red target threshold]]-Table146[[#This Row],[Red target threshold]]*0.5</f>
        <v>0</v>
      </c>
      <c r="S239" s="375"/>
      <c r="T239" s="399"/>
    </row>
    <row r="240" spans="1:20" s="362" customFormat="1" x14ac:dyDescent="0.25">
      <c r="A240" s="389"/>
      <c r="B240" s="372"/>
      <c r="C240" s="372"/>
      <c r="D240" s="372"/>
      <c r="E240" s="382"/>
      <c r="F240" s="383"/>
      <c r="G240" s="384"/>
      <c r="H240" s="421"/>
      <c r="I240" s="375"/>
      <c r="J240" s="375"/>
      <c r="K240" s="375"/>
      <c r="L240" s="431">
        <f>Table146[[#This Row],[Green target threshold]]+Table146[[#This Row],[Green target threshold]]*0.5</f>
        <v>0</v>
      </c>
      <c r="M240" s="375"/>
      <c r="N240" s="375"/>
      <c r="O240" s="375"/>
      <c r="P240" s="431"/>
      <c r="Q240" s="431"/>
      <c r="R240" s="431">
        <f>Table146[[#This Row],[Red target threshold]]-Table146[[#This Row],[Red target threshold]]*0.5</f>
        <v>0</v>
      </c>
      <c r="S240" s="375"/>
      <c r="T240" s="399"/>
    </row>
    <row r="241" spans="1:20" s="362" customFormat="1" x14ac:dyDescent="0.25">
      <c r="A241" s="389"/>
      <c r="B241" s="372"/>
      <c r="C241" s="372"/>
      <c r="D241" s="372"/>
      <c r="E241" s="382"/>
      <c r="F241" s="383"/>
      <c r="G241" s="384"/>
      <c r="H241" s="421"/>
      <c r="I241" s="375"/>
      <c r="J241" s="375"/>
      <c r="K241" s="375"/>
      <c r="L241" s="431">
        <f>Table146[[#This Row],[Green target threshold]]+Table146[[#This Row],[Green target threshold]]*0.5</f>
        <v>0</v>
      </c>
      <c r="M241" s="375"/>
      <c r="N241" s="375"/>
      <c r="O241" s="375"/>
      <c r="P241" s="431"/>
      <c r="Q241" s="431"/>
      <c r="R241" s="431">
        <f>Table146[[#This Row],[Red target threshold]]-Table146[[#This Row],[Red target threshold]]*0.5</f>
        <v>0</v>
      </c>
      <c r="S241" s="375"/>
      <c r="T241" s="399"/>
    </row>
    <row r="242" spans="1:20" s="387" customFormat="1" x14ac:dyDescent="0.25">
      <c r="A242" s="410"/>
      <c r="B242" s="415"/>
      <c r="C242" s="415"/>
      <c r="D242" s="415"/>
      <c r="E242" s="417">
        <v>2005</v>
      </c>
      <c r="F242" s="417">
        <v>2010</v>
      </c>
      <c r="G242" s="417">
        <v>2020</v>
      </c>
      <c r="H242" s="417"/>
      <c r="I242" s="417"/>
      <c r="J242" s="417"/>
      <c r="K242" s="417"/>
      <c r="L242" s="417">
        <f>Table146[[#This Row],[Green target threshold]]+Table146[[#This Row],[Green target threshold]]*0.5</f>
        <v>0</v>
      </c>
      <c r="M242" s="417"/>
      <c r="N242" s="417"/>
      <c r="O242" s="417"/>
      <c r="P242" s="417"/>
      <c r="Q242" s="417"/>
      <c r="R242" s="417">
        <f>Table146[[#This Row],[Red target threshold]]-Table146[[#This Row],[Red target threshold]]*0.5</f>
        <v>0</v>
      </c>
      <c r="S242" s="417"/>
      <c r="T242" s="412"/>
    </row>
    <row r="243" spans="1:20" s="362" customFormat="1" x14ac:dyDescent="0.25">
      <c r="A243" s="418" t="s">
        <v>956</v>
      </c>
      <c r="B243" s="436" t="s">
        <v>24</v>
      </c>
      <c r="C243" s="437" t="s">
        <v>959</v>
      </c>
      <c r="D243" s="436" t="s">
        <v>1085</v>
      </c>
      <c r="E243" s="420">
        <v>167.2</v>
      </c>
      <c r="F243" s="420">
        <v>171.4</v>
      </c>
      <c r="G243" s="420">
        <v>195</v>
      </c>
      <c r="H243" s="421">
        <v>2020</v>
      </c>
      <c r="I243" s="421">
        <v>195</v>
      </c>
      <c r="J243" s="421">
        <v>2015</v>
      </c>
      <c r="K243" s="411">
        <v>183.40299999999999</v>
      </c>
      <c r="L243" s="411">
        <f>Table146[[#This Row],[Green target threshold]]-Table146[[#This Row],[Green target threshold]]*0.5</f>
        <v>68.25</v>
      </c>
      <c r="M243" s="421">
        <f>Table146[[#This Row],[Data reference value]]+Table146[[#This Row],[Data reference value]]*Table146[[#This Row],[Improvement rate]]</f>
        <v>136.5</v>
      </c>
      <c r="N243" s="421">
        <v>-0.3</v>
      </c>
      <c r="O243" s="421" t="s">
        <v>1140</v>
      </c>
      <c r="P243" s="421">
        <f>(Table146[[#This Row],[Green target threshold]]-Table146[[#This Row],[Model reference value]])*0.5+Table146[[#This Row],[Model reference value]]</f>
        <v>159.95150000000001</v>
      </c>
      <c r="Q243" s="421">
        <f>Table146[[#This Row],[Model reference value]]</f>
        <v>183.40299999999999</v>
      </c>
      <c r="R243" s="421">
        <f>Table146[[#This Row],[Red target threshold]]+Table146[[#This Row],[Red target threshold]]*0.5</f>
        <v>275.10449999999997</v>
      </c>
      <c r="S243" s="421" t="s">
        <v>1088</v>
      </c>
      <c r="T243" s="419" t="s">
        <v>979</v>
      </c>
    </row>
    <row r="244" spans="1:20" s="362" customFormat="1" x14ac:dyDescent="0.25">
      <c r="A244" s="389"/>
      <c r="B244" s="372"/>
      <c r="C244" s="372"/>
      <c r="D244" s="372"/>
      <c r="E244" s="379"/>
      <c r="F244" s="380"/>
      <c r="G244" s="381"/>
      <c r="H244" s="421"/>
      <c r="I244" s="375"/>
      <c r="J244" s="375"/>
      <c r="K244" s="375"/>
      <c r="L244" s="375">
        <f>Table146[[#This Row],[Green target threshold]]+Table146[[#This Row],[Green target threshold]]*0.5</f>
        <v>0</v>
      </c>
      <c r="M244" s="375"/>
      <c r="N244" s="375"/>
      <c r="O244" s="375"/>
      <c r="P244" s="375"/>
      <c r="Q244" s="375"/>
      <c r="R244" s="375">
        <f>Table146[[#This Row],[Red target threshold]]-Table146[[#This Row],[Red target threshold]]*0.5</f>
        <v>0</v>
      </c>
      <c r="S244" s="375"/>
      <c r="T244" s="399"/>
    </row>
    <row r="245" spans="1:20" s="362" customFormat="1" x14ac:dyDescent="0.25">
      <c r="A245" s="389"/>
      <c r="B245" s="372"/>
      <c r="C245" s="372"/>
      <c r="D245" s="372"/>
      <c r="E245" s="379"/>
      <c r="F245" s="380"/>
      <c r="G245" s="381"/>
      <c r="H245" s="421"/>
      <c r="I245" s="375"/>
      <c r="J245" s="375"/>
      <c r="K245" s="375"/>
      <c r="L245" s="375">
        <f>Table146[[#This Row],[Green target threshold]]+Table146[[#This Row],[Green target threshold]]*0.5</f>
        <v>0</v>
      </c>
      <c r="M245" s="375"/>
      <c r="N245" s="375"/>
      <c r="O245" s="375"/>
      <c r="P245" s="375"/>
      <c r="Q245" s="375"/>
      <c r="R245" s="375">
        <f>Table146[[#This Row],[Red target threshold]]-Table146[[#This Row],[Red target threshold]]*0.5</f>
        <v>0</v>
      </c>
      <c r="S245" s="375"/>
      <c r="T245" s="399"/>
    </row>
    <row r="246" spans="1:20" s="362" customFormat="1" x14ac:dyDescent="0.25">
      <c r="A246" s="389"/>
      <c r="B246" s="372"/>
      <c r="C246" s="372"/>
      <c r="D246" s="372"/>
      <c r="E246" s="379"/>
      <c r="F246" s="380"/>
      <c r="G246" s="381"/>
      <c r="H246" s="421"/>
      <c r="I246" s="375"/>
      <c r="J246" s="375"/>
      <c r="K246" s="375"/>
      <c r="L246" s="375">
        <f>Table146[[#This Row],[Green target threshold]]+Table146[[#This Row],[Green target threshold]]*0.5</f>
        <v>0</v>
      </c>
      <c r="M246" s="375"/>
      <c r="N246" s="375"/>
      <c r="O246" s="375"/>
      <c r="P246" s="375"/>
      <c r="Q246" s="375"/>
      <c r="R246" s="375">
        <f>Table146[[#This Row],[Red target threshold]]-Table146[[#This Row],[Red target threshold]]*0.5</f>
        <v>0</v>
      </c>
      <c r="S246" s="375"/>
      <c r="T246" s="399"/>
    </row>
    <row r="247" spans="1:20" s="362" customFormat="1" x14ac:dyDescent="0.25">
      <c r="A247" s="389"/>
      <c r="B247" s="372"/>
      <c r="C247" s="372"/>
      <c r="D247" s="372"/>
      <c r="E247" s="379"/>
      <c r="F247" s="380"/>
      <c r="G247" s="381"/>
      <c r="H247" s="421"/>
      <c r="I247" s="375"/>
      <c r="J247" s="375"/>
      <c r="K247" s="375"/>
      <c r="L247" s="431">
        <f>Table146[[#This Row],[Green target threshold]]+Table146[[#This Row],[Green target threshold]]*0.5</f>
        <v>0</v>
      </c>
      <c r="M247" s="375"/>
      <c r="N247" s="375"/>
      <c r="O247" s="375"/>
      <c r="P247" s="431"/>
      <c r="Q247" s="431"/>
      <c r="R247" s="431">
        <f>Table146[[#This Row],[Red target threshold]]-Table146[[#This Row],[Red target threshold]]*0.5</f>
        <v>0</v>
      </c>
      <c r="S247" s="375"/>
      <c r="T247" s="399"/>
    </row>
    <row r="248" spans="1:20" s="362" customFormat="1" x14ac:dyDescent="0.25">
      <c r="A248" s="389"/>
      <c r="B248" s="372"/>
      <c r="C248" s="372"/>
      <c r="D248" s="372"/>
      <c r="E248" s="379"/>
      <c r="F248" s="380"/>
      <c r="G248" s="381"/>
      <c r="H248" s="421"/>
      <c r="I248" s="375"/>
      <c r="J248" s="375"/>
      <c r="K248" s="375"/>
      <c r="L248" s="431">
        <f>Table146[[#This Row],[Green target threshold]]+Table146[[#This Row],[Green target threshold]]*0.5</f>
        <v>0</v>
      </c>
      <c r="M248" s="375"/>
      <c r="N248" s="375"/>
      <c r="O248" s="375"/>
      <c r="P248" s="431"/>
      <c r="Q248" s="431"/>
      <c r="R248" s="431">
        <f>Table146[[#This Row],[Red target threshold]]-Table146[[#This Row],[Red target threshold]]*0.5</f>
        <v>0</v>
      </c>
      <c r="S248" s="375"/>
      <c r="T248" s="399"/>
    </row>
    <row r="249" spans="1:20" s="362" customFormat="1" x14ac:dyDescent="0.25">
      <c r="A249" s="389"/>
      <c r="B249" s="372"/>
      <c r="C249" s="372"/>
      <c r="D249" s="372"/>
      <c r="E249" s="382"/>
      <c r="F249" s="383"/>
      <c r="G249" s="384"/>
      <c r="H249" s="421"/>
      <c r="I249" s="375"/>
      <c r="J249" s="375"/>
      <c r="K249" s="375"/>
      <c r="L249" s="375">
        <f>Table146[[#This Row],[Green target threshold]]+Table146[[#This Row],[Green target threshold]]*0.5</f>
        <v>0</v>
      </c>
      <c r="M249" s="375"/>
      <c r="N249" s="375"/>
      <c r="O249" s="375"/>
      <c r="P249" s="375"/>
      <c r="Q249" s="375"/>
      <c r="R249" s="375">
        <f>Table146[[#This Row],[Red target threshold]]-Table146[[#This Row],[Red target threshold]]*0.5</f>
        <v>0</v>
      </c>
      <c r="S249" s="375"/>
      <c r="T249" s="399"/>
    </row>
    <row r="250" spans="1:20" s="362" customFormat="1" x14ac:dyDescent="0.25">
      <c r="A250" s="389"/>
      <c r="B250" s="372"/>
      <c r="C250" s="372"/>
      <c r="D250" s="372"/>
      <c r="E250" s="382"/>
      <c r="F250" s="383"/>
      <c r="G250" s="384"/>
      <c r="H250" s="421"/>
      <c r="I250" s="375"/>
      <c r="J250" s="375"/>
      <c r="K250" s="375"/>
      <c r="L250" s="375">
        <f>Table146[[#This Row],[Green target threshold]]+Table146[[#This Row],[Green target threshold]]*0.5</f>
        <v>0</v>
      </c>
      <c r="M250" s="375"/>
      <c r="N250" s="375"/>
      <c r="O250" s="375"/>
      <c r="P250" s="375"/>
      <c r="Q250" s="375"/>
      <c r="R250" s="375">
        <f>Table146[[#This Row],[Red target threshold]]-Table146[[#This Row],[Red target threshold]]*0.5</f>
        <v>0</v>
      </c>
      <c r="S250" s="375"/>
      <c r="T250" s="399"/>
    </row>
    <row r="251" spans="1:20" s="362" customFormat="1" x14ac:dyDescent="0.25">
      <c r="A251" s="389"/>
      <c r="B251" s="372"/>
      <c r="C251" s="372"/>
      <c r="D251" s="372"/>
      <c r="E251" s="382"/>
      <c r="F251" s="383"/>
      <c r="G251" s="384"/>
      <c r="H251" s="421"/>
      <c r="I251" s="375"/>
      <c r="J251" s="375"/>
      <c r="K251" s="375"/>
      <c r="L251" s="431">
        <f>Table146[[#This Row],[Green target threshold]]+Table146[[#This Row],[Green target threshold]]*0.5</f>
        <v>0</v>
      </c>
      <c r="M251" s="375"/>
      <c r="N251" s="375"/>
      <c r="O251" s="375"/>
      <c r="P251" s="431"/>
      <c r="Q251" s="431"/>
      <c r="R251" s="431">
        <f>Table146[[#This Row],[Red target threshold]]-Table146[[#This Row],[Red target threshold]]*0.5</f>
        <v>0</v>
      </c>
      <c r="S251" s="375"/>
      <c r="T251" s="399"/>
    </row>
    <row r="252" spans="1:20" s="362" customFormat="1" x14ac:dyDescent="0.25">
      <c r="A252" s="389"/>
      <c r="B252" s="372"/>
      <c r="C252" s="372"/>
      <c r="D252" s="372"/>
      <c r="E252" s="382"/>
      <c r="F252" s="383"/>
      <c r="G252" s="384"/>
      <c r="H252" s="421"/>
      <c r="I252" s="375"/>
      <c r="J252" s="375"/>
      <c r="K252" s="375"/>
      <c r="L252" s="431">
        <f>Table146[[#This Row],[Green target threshold]]+Table146[[#This Row],[Green target threshold]]*0.5</f>
        <v>0</v>
      </c>
      <c r="M252" s="375"/>
      <c r="N252" s="375"/>
      <c r="O252" s="375"/>
      <c r="P252" s="431"/>
      <c r="Q252" s="431"/>
      <c r="R252" s="431">
        <f>Table146[[#This Row],[Red target threshold]]-Table146[[#This Row],[Red target threshold]]*0.5</f>
        <v>0</v>
      </c>
      <c r="S252" s="375"/>
      <c r="T252" s="399"/>
    </row>
    <row r="253" spans="1:20" s="362" customFormat="1" x14ac:dyDescent="0.25">
      <c r="A253" s="389"/>
      <c r="B253" s="372"/>
      <c r="C253" s="372"/>
      <c r="D253" s="372"/>
      <c r="E253" s="382"/>
      <c r="F253" s="383"/>
      <c r="G253" s="384"/>
      <c r="H253" s="421"/>
      <c r="I253" s="375"/>
      <c r="J253" s="375"/>
      <c r="K253" s="375"/>
      <c r="L253" s="431">
        <f>Table146[[#This Row],[Green target threshold]]+Table146[[#This Row],[Green target threshold]]*0.5</f>
        <v>0</v>
      </c>
      <c r="M253" s="375"/>
      <c r="N253" s="375"/>
      <c r="O253" s="375"/>
      <c r="P253" s="431"/>
      <c r="Q253" s="431"/>
      <c r="R253" s="431">
        <f>Table146[[#This Row],[Red target threshold]]-Table146[[#This Row],[Red target threshold]]*0.5</f>
        <v>0</v>
      </c>
      <c r="S253" s="375"/>
      <c r="T253" s="399"/>
    </row>
    <row r="254" spans="1:20" s="387" customFormat="1" x14ac:dyDescent="0.25">
      <c r="A254" s="410"/>
      <c r="B254" s="415"/>
      <c r="C254" s="415"/>
      <c r="D254" s="415"/>
      <c r="E254" s="417">
        <v>2005</v>
      </c>
      <c r="F254" s="417">
        <v>2010</v>
      </c>
      <c r="G254" s="417">
        <v>2020</v>
      </c>
      <c r="H254" s="417"/>
      <c r="I254" s="417"/>
      <c r="J254" s="417"/>
      <c r="K254" s="417"/>
      <c r="L254" s="417">
        <f>Table146[[#This Row],[Green target threshold]]+Table146[[#This Row],[Green target threshold]]*0.5</f>
        <v>0</v>
      </c>
      <c r="M254" s="417"/>
      <c r="N254" s="417"/>
      <c r="O254" s="417"/>
      <c r="P254" s="417"/>
      <c r="Q254" s="417"/>
      <c r="R254" s="417">
        <f>Table146[[#This Row],[Red target threshold]]-Table146[[#This Row],[Red target threshold]]*0.5</f>
        <v>0</v>
      </c>
      <c r="S254" s="417"/>
      <c r="T254" s="412"/>
    </row>
    <row r="255" spans="1:20" s="362" customFormat="1" x14ac:dyDescent="0.25">
      <c r="A255" s="418" t="s">
        <v>957</v>
      </c>
      <c r="B255" s="436" t="s">
        <v>25</v>
      </c>
      <c r="C255" s="437" t="s">
        <v>959</v>
      </c>
      <c r="D255" s="436" t="s">
        <v>1086</v>
      </c>
      <c r="E255" s="420">
        <v>101.93460156250001</v>
      </c>
      <c r="F255" s="420">
        <v>112.74639843750001</v>
      </c>
      <c r="G255" s="420">
        <v>152.18899999999999</v>
      </c>
      <c r="H255" s="421">
        <v>2020</v>
      </c>
      <c r="I255" s="421">
        <v>152.18899999999999</v>
      </c>
      <c r="J255" s="421">
        <v>2015</v>
      </c>
      <c r="K255" s="411">
        <v>130.12200000000001</v>
      </c>
      <c r="L255" s="411">
        <f>Table146[[#This Row],[Green target threshold]]-Table146[[#This Row],[Green target threshold]]*0.5</f>
        <v>53.266149999999996</v>
      </c>
      <c r="M255" s="421">
        <f>Table146[[#This Row],[Data reference value]]+Table146[[#This Row],[Data reference value]]*Table146[[#This Row],[Improvement rate]]</f>
        <v>106.53229999999999</v>
      </c>
      <c r="N255" s="421">
        <v>-0.3</v>
      </c>
      <c r="O255" s="421" t="s">
        <v>1140</v>
      </c>
      <c r="P255" s="421">
        <f>(Table146[[#This Row],[Green target threshold]]-Table146[[#This Row],[Model reference value]])*0.5+Table146[[#This Row],[Model reference value]]</f>
        <v>118.32715</v>
      </c>
      <c r="Q255" s="421">
        <f>Table146[[#This Row],[Model reference value]]</f>
        <v>130.12200000000001</v>
      </c>
      <c r="R255" s="421">
        <f>Table146[[#This Row],[Red target threshold]]+Table146[[#This Row],[Red target threshold]]*0.5</f>
        <v>195.18300000000002</v>
      </c>
      <c r="S255" s="421" t="s">
        <v>1089</v>
      </c>
      <c r="T255" s="419" t="s">
        <v>979</v>
      </c>
    </row>
    <row r="256" spans="1:20" s="362" customFormat="1" x14ac:dyDescent="0.25">
      <c r="A256" s="389"/>
      <c r="B256" s="372"/>
      <c r="C256" s="372"/>
      <c r="D256" s="372"/>
      <c r="E256" s="379"/>
      <c r="F256" s="380"/>
      <c r="G256" s="381"/>
      <c r="H256" s="421"/>
      <c r="I256" s="375"/>
      <c r="J256" s="375"/>
      <c r="K256" s="375"/>
      <c r="L256" s="375">
        <f>Table146[[#This Row],[Green target threshold]]+Table146[[#This Row],[Green target threshold]]*0.5</f>
        <v>0</v>
      </c>
      <c r="M256" s="375"/>
      <c r="N256" s="375"/>
      <c r="O256" s="375"/>
      <c r="P256" s="375"/>
      <c r="Q256" s="375"/>
      <c r="R256" s="375">
        <f>Table146[[#This Row],[Red target threshold]]-Table146[[#This Row],[Red target threshold]]*0.5</f>
        <v>0</v>
      </c>
      <c r="S256" s="375"/>
      <c r="T256" s="399"/>
    </row>
    <row r="257" spans="1:20" s="362" customFormat="1" x14ac:dyDescent="0.25">
      <c r="A257" s="389"/>
      <c r="B257" s="372"/>
      <c r="C257" s="372"/>
      <c r="D257" s="372"/>
      <c r="E257" s="379"/>
      <c r="F257" s="380"/>
      <c r="G257" s="381"/>
      <c r="H257" s="421"/>
      <c r="I257" s="375"/>
      <c r="J257" s="375"/>
      <c r="K257" s="375"/>
      <c r="L257" s="375">
        <f>Table146[[#This Row],[Green target threshold]]+Table146[[#This Row],[Green target threshold]]*0.5</f>
        <v>0</v>
      </c>
      <c r="M257" s="375"/>
      <c r="N257" s="375"/>
      <c r="O257" s="375"/>
      <c r="P257" s="375"/>
      <c r="Q257" s="375"/>
      <c r="R257" s="375">
        <f>Table146[[#This Row],[Red target threshold]]-Table146[[#This Row],[Red target threshold]]*0.5</f>
        <v>0</v>
      </c>
      <c r="S257" s="375"/>
      <c r="T257" s="399"/>
    </row>
    <row r="258" spans="1:20" s="362" customFormat="1" x14ac:dyDescent="0.25">
      <c r="A258" s="389"/>
      <c r="B258" s="372"/>
      <c r="C258" s="372"/>
      <c r="D258" s="372"/>
      <c r="E258" s="379"/>
      <c r="F258" s="380"/>
      <c r="G258" s="381"/>
      <c r="H258" s="421"/>
      <c r="I258" s="375"/>
      <c r="J258" s="375"/>
      <c r="K258" s="375"/>
      <c r="L258" s="375">
        <f>Table146[[#This Row],[Green target threshold]]+Table146[[#This Row],[Green target threshold]]*0.5</f>
        <v>0</v>
      </c>
      <c r="M258" s="375"/>
      <c r="N258" s="375"/>
      <c r="O258" s="375"/>
      <c r="P258" s="375"/>
      <c r="Q258" s="375"/>
      <c r="R258" s="375">
        <f>Table146[[#This Row],[Red target threshold]]-Table146[[#This Row],[Red target threshold]]*0.5</f>
        <v>0</v>
      </c>
      <c r="S258" s="375"/>
      <c r="T258" s="399"/>
    </row>
    <row r="259" spans="1:20" s="362" customFormat="1" x14ac:dyDescent="0.25">
      <c r="A259" s="389"/>
      <c r="B259" s="372"/>
      <c r="C259" s="372"/>
      <c r="D259" s="372"/>
      <c r="E259" s="379"/>
      <c r="F259" s="380"/>
      <c r="G259" s="381"/>
      <c r="H259" s="421"/>
      <c r="I259" s="375"/>
      <c r="J259" s="375"/>
      <c r="K259" s="375"/>
      <c r="L259" s="431">
        <f>Table146[[#This Row],[Green target threshold]]+Table146[[#This Row],[Green target threshold]]*0.5</f>
        <v>0</v>
      </c>
      <c r="M259" s="375"/>
      <c r="N259" s="375"/>
      <c r="O259" s="375"/>
      <c r="P259" s="431"/>
      <c r="Q259" s="431"/>
      <c r="R259" s="431">
        <f>Table146[[#This Row],[Red target threshold]]-Table146[[#This Row],[Red target threshold]]*0.5</f>
        <v>0</v>
      </c>
      <c r="S259" s="375"/>
      <c r="T259" s="399"/>
    </row>
    <row r="260" spans="1:20" s="362" customFormat="1" x14ac:dyDescent="0.25">
      <c r="A260" s="389"/>
      <c r="B260" s="372"/>
      <c r="C260" s="372"/>
      <c r="D260" s="372"/>
      <c r="E260" s="379"/>
      <c r="F260" s="380"/>
      <c r="G260" s="381"/>
      <c r="H260" s="421"/>
      <c r="I260" s="375"/>
      <c r="J260" s="375"/>
      <c r="K260" s="375"/>
      <c r="L260" s="431">
        <f>Table146[[#This Row],[Green target threshold]]+Table146[[#This Row],[Green target threshold]]*0.5</f>
        <v>0</v>
      </c>
      <c r="M260" s="375"/>
      <c r="N260" s="375"/>
      <c r="O260" s="375"/>
      <c r="P260" s="431"/>
      <c r="Q260" s="431"/>
      <c r="R260" s="431">
        <f>Table146[[#This Row],[Red target threshold]]-Table146[[#This Row],[Red target threshold]]*0.5</f>
        <v>0</v>
      </c>
      <c r="S260" s="375"/>
      <c r="T260" s="399"/>
    </row>
    <row r="261" spans="1:20" s="362" customFormat="1" x14ac:dyDescent="0.25">
      <c r="A261" s="389"/>
      <c r="B261" s="372"/>
      <c r="C261" s="372"/>
      <c r="D261" s="372"/>
      <c r="E261" s="382"/>
      <c r="F261" s="383"/>
      <c r="G261" s="384"/>
      <c r="H261" s="421"/>
      <c r="I261" s="375"/>
      <c r="J261" s="375"/>
      <c r="K261" s="375"/>
      <c r="L261" s="375">
        <f>Table146[[#This Row],[Green target threshold]]+Table146[[#This Row],[Green target threshold]]*0.5</f>
        <v>0</v>
      </c>
      <c r="M261" s="375"/>
      <c r="N261" s="375"/>
      <c r="O261" s="375"/>
      <c r="P261" s="375"/>
      <c r="Q261" s="375"/>
      <c r="R261" s="375">
        <f>Table146[[#This Row],[Red target threshold]]-Table146[[#This Row],[Red target threshold]]*0.5</f>
        <v>0</v>
      </c>
      <c r="S261" s="375"/>
      <c r="T261" s="399"/>
    </row>
    <row r="262" spans="1:20" s="362" customFormat="1" x14ac:dyDescent="0.25">
      <c r="A262" s="389"/>
      <c r="B262" s="372"/>
      <c r="C262" s="372"/>
      <c r="D262" s="372"/>
      <c r="E262" s="382"/>
      <c r="F262" s="383"/>
      <c r="G262" s="384"/>
      <c r="H262" s="421"/>
      <c r="I262" s="375"/>
      <c r="J262" s="375"/>
      <c r="K262" s="375"/>
      <c r="L262" s="375">
        <f>Table146[[#This Row],[Green target threshold]]+Table146[[#This Row],[Green target threshold]]*0.5</f>
        <v>0</v>
      </c>
      <c r="M262" s="375"/>
      <c r="N262" s="375"/>
      <c r="O262" s="375"/>
      <c r="P262" s="375"/>
      <c r="Q262" s="375"/>
      <c r="R262" s="375">
        <f>Table146[[#This Row],[Red target threshold]]-Table146[[#This Row],[Red target threshold]]*0.5</f>
        <v>0</v>
      </c>
      <c r="S262" s="375"/>
      <c r="T262" s="399"/>
    </row>
    <row r="263" spans="1:20" s="362" customFormat="1" x14ac:dyDescent="0.25">
      <c r="A263" s="389"/>
      <c r="B263" s="372"/>
      <c r="C263" s="372"/>
      <c r="D263" s="372"/>
      <c r="E263" s="382"/>
      <c r="F263" s="383"/>
      <c r="G263" s="384"/>
      <c r="H263" s="421"/>
      <c r="I263" s="375"/>
      <c r="J263" s="375"/>
      <c r="K263" s="375"/>
      <c r="L263" s="431">
        <f>Table146[[#This Row],[Green target threshold]]+Table146[[#This Row],[Green target threshold]]*0.5</f>
        <v>0</v>
      </c>
      <c r="M263" s="375"/>
      <c r="N263" s="375"/>
      <c r="O263" s="375"/>
      <c r="P263" s="431"/>
      <c r="Q263" s="431"/>
      <c r="R263" s="431">
        <f>Table146[[#This Row],[Red target threshold]]-Table146[[#This Row],[Red target threshold]]*0.5</f>
        <v>0</v>
      </c>
      <c r="S263" s="375"/>
      <c r="T263" s="399"/>
    </row>
    <row r="264" spans="1:20" s="362" customFormat="1" x14ac:dyDescent="0.25">
      <c r="A264" s="389"/>
      <c r="B264" s="372"/>
      <c r="C264" s="372"/>
      <c r="D264" s="372"/>
      <c r="E264" s="382"/>
      <c r="F264" s="383"/>
      <c r="G264" s="384"/>
      <c r="H264" s="421"/>
      <c r="I264" s="375"/>
      <c r="J264" s="375"/>
      <c r="K264" s="375"/>
      <c r="L264" s="431">
        <f>Table146[[#This Row],[Green target threshold]]+Table146[[#This Row],[Green target threshold]]*0.5</f>
        <v>0</v>
      </c>
      <c r="M264" s="375"/>
      <c r="N264" s="375"/>
      <c r="O264" s="375"/>
      <c r="P264" s="431"/>
      <c r="Q264" s="431"/>
      <c r="R264" s="431">
        <f>Table146[[#This Row],[Red target threshold]]-Table146[[#This Row],[Red target threshold]]*0.5</f>
        <v>0</v>
      </c>
      <c r="S264" s="375"/>
      <c r="T264" s="399"/>
    </row>
    <row r="265" spans="1:20" s="362" customFormat="1" x14ac:dyDescent="0.25">
      <c r="A265" s="389"/>
      <c r="B265" s="372"/>
      <c r="C265" s="372"/>
      <c r="D265" s="372"/>
      <c r="E265" s="382"/>
      <c r="F265" s="383"/>
      <c r="G265" s="384"/>
      <c r="H265" s="421"/>
      <c r="I265" s="375"/>
      <c r="J265" s="375"/>
      <c r="K265" s="375"/>
      <c r="L265" s="431">
        <f>Table146[[#This Row],[Green target threshold]]+Table146[[#This Row],[Green target threshold]]*0.5</f>
        <v>0</v>
      </c>
      <c r="M265" s="375"/>
      <c r="N265" s="375"/>
      <c r="O265" s="375"/>
      <c r="P265" s="431"/>
      <c r="Q265" s="431"/>
      <c r="R265" s="431">
        <f>Table146[[#This Row],[Red target threshold]]-Table146[[#This Row],[Red target threshold]]*0.5</f>
        <v>0</v>
      </c>
      <c r="S265" s="375"/>
      <c r="T265" s="399"/>
    </row>
    <row r="266" spans="1:20" s="387" customFormat="1" x14ac:dyDescent="0.25">
      <c r="A266" s="410"/>
      <c r="B266" s="415"/>
      <c r="C266" s="415"/>
      <c r="D266" s="415"/>
      <c r="E266" s="417">
        <v>2005</v>
      </c>
      <c r="F266" s="417">
        <v>2010</v>
      </c>
      <c r="G266" s="417">
        <v>2020</v>
      </c>
      <c r="H266" s="417"/>
      <c r="I266" s="417"/>
      <c r="J266" s="417"/>
      <c r="K266" s="417"/>
      <c r="L266" s="417">
        <f>Table146[[#This Row],[Green target threshold]]+Table146[[#This Row],[Green target threshold]]*0.5</f>
        <v>0</v>
      </c>
      <c r="M266" s="417"/>
      <c r="N266" s="417"/>
      <c r="O266" s="417"/>
      <c r="P266" s="417"/>
      <c r="Q266" s="417"/>
      <c r="R266" s="417">
        <f>Table146[[#This Row],[Red target threshold]]-Table146[[#This Row],[Red target threshold]]*0.5</f>
        <v>0</v>
      </c>
      <c r="S266" s="417"/>
      <c r="T266" s="412"/>
    </row>
    <row r="267" spans="1:20" s="362" customFormat="1" x14ac:dyDescent="0.25">
      <c r="A267" s="418" t="s">
        <v>958</v>
      </c>
      <c r="B267" s="436" t="s">
        <v>26</v>
      </c>
      <c r="C267" s="437" t="s">
        <v>959</v>
      </c>
      <c r="D267" s="436" t="s">
        <v>1083</v>
      </c>
      <c r="E267" s="420">
        <v>121.29900000000001</v>
      </c>
      <c r="F267" s="420">
        <v>139.73400000000001</v>
      </c>
      <c r="G267" s="420">
        <v>143.77099999999999</v>
      </c>
      <c r="H267" s="421">
        <v>2020</v>
      </c>
      <c r="I267" s="421">
        <v>143.77099999999999</v>
      </c>
      <c r="J267" s="421">
        <v>2015</v>
      </c>
      <c r="K267" s="411">
        <v>105.98</v>
      </c>
      <c r="L267" s="411">
        <f>Table146[[#This Row],[Green target threshold]]-Table146[[#This Row],[Green target threshold]]*0.5</f>
        <v>50.319849999999995</v>
      </c>
      <c r="M267" s="421">
        <f>Table146[[#This Row],[Data reference value]]+Table146[[#This Row],[Data reference value]]*Table146[[#This Row],[Improvement rate]]</f>
        <v>100.63969999999999</v>
      </c>
      <c r="N267" s="421">
        <v>-0.3</v>
      </c>
      <c r="O267" s="421" t="s">
        <v>1140</v>
      </c>
      <c r="P267" s="421">
        <f>(Table146[[#This Row],[Green target threshold]]-Table146[[#This Row],[Model reference value]])*0.5+Table146[[#This Row],[Model reference value]]</f>
        <v>103.30985</v>
      </c>
      <c r="Q267" s="421">
        <f>Table146[[#This Row],[Model reference value]]</f>
        <v>105.98</v>
      </c>
      <c r="R267" s="421">
        <f>Table146[[#This Row],[Red target threshold]]+Table146[[#This Row],[Red target threshold]]*0.5</f>
        <v>158.97</v>
      </c>
      <c r="S267" s="421" t="s">
        <v>1087</v>
      </c>
      <c r="T267" s="419" t="s">
        <v>979</v>
      </c>
    </row>
    <row r="268" spans="1:20" s="362" customFormat="1" x14ac:dyDescent="0.25">
      <c r="A268" s="389"/>
      <c r="B268" s="372"/>
      <c r="C268" s="372"/>
      <c r="D268" s="372"/>
      <c r="E268" s="379"/>
      <c r="F268" s="380"/>
      <c r="G268" s="381"/>
      <c r="H268" s="421"/>
      <c r="I268" s="375"/>
      <c r="J268" s="375"/>
      <c r="K268" s="375"/>
      <c r="L268" s="375">
        <f>Table146[[#This Row],[Green target threshold]]+Table146[[#This Row],[Green target threshold]]*0.5</f>
        <v>0</v>
      </c>
      <c r="M268" s="375"/>
      <c r="N268" s="375"/>
      <c r="O268" s="375"/>
      <c r="P268" s="375"/>
      <c r="Q268" s="375"/>
      <c r="R268" s="375">
        <f>Table146[[#This Row],[Red target threshold]]-Table146[[#This Row],[Red target threshold]]*0.5</f>
        <v>0</v>
      </c>
      <c r="S268" s="375"/>
      <c r="T268" s="399"/>
    </row>
    <row r="269" spans="1:20" s="362" customFormat="1" x14ac:dyDescent="0.25">
      <c r="A269" s="389"/>
      <c r="B269" s="372"/>
      <c r="C269" s="372"/>
      <c r="D269" s="372"/>
      <c r="E269" s="379"/>
      <c r="F269" s="380"/>
      <c r="G269" s="381"/>
      <c r="H269" s="421"/>
      <c r="I269" s="375"/>
      <c r="J269" s="375"/>
      <c r="K269" s="375"/>
      <c r="L269" s="375">
        <f>Table146[[#This Row],[Green target threshold]]+Table146[[#This Row],[Green target threshold]]*0.5</f>
        <v>0</v>
      </c>
      <c r="M269" s="375"/>
      <c r="N269" s="375"/>
      <c r="O269" s="375"/>
      <c r="P269" s="375"/>
      <c r="Q269" s="375"/>
      <c r="R269" s="375">
        <f>Table146[[#This Row],[Red target threshold]]-Table146[[#This Row],[Red target threshold]]*0.5</f>
        <v>0</v>
      </c>
      <c r="S269" s="375"/>
      <c r="T269" s="399"/>
    </row>
    <row r="270" spans="1:20" s="362" customFormat="1" x14ac:dyDescent="0.25">
      <c r="A270" s="389"/>
      <c r="B270" s="372"/>
      <c r="C270" s="372"/>
      <c r="D270" s="372"/>
      <c r="E270" s="379"/>
      <c r="F270" s="380"/>
      <c r="G270" s="381"/>
      <c r="H270" s="421"/>
      <c r="I270" s="375"/>
      <c r="J270" s="375"/>
      <c r="K270" s="375"/>
      <c r="L270" s="375">
        <f>Table146[[#This Row],[Green target threshold]]+Table146[[#This Row],[Green target threshold]]*0.5</f>
        <v>0</v>
      </c>
      <c r="M270" s="375"/>
      <c r="N270" s="375"/>
      <c r="O270" s="375"/>
      <c r="P270" s="375"/>
      <c r="Q270" s="375"/>
      <c r="R270" s="375">
        <f>Table146[[#This Row],[Red target threshold]]-Table146[[#This Row],[Red target threshold]]*0.5</f>
        <v>0</v>
      </c>
      <c r="S270" s="375"/>
      <c r="T270" s="399"/>
    </row>
    <row r="271" spans="1:20" s="362" customFormat="1" x14ac:dyDescent="0.25">
      <c r="A271" s="389"/>
      <c r="B271" s="372"/>
      <c r="C271" s="372"/>
      <c r="D271" s="372"/>
      <c r="E271" s="379"/>
      <c r="F271" s="380"/>
      <c r="G271" s="381"/>
      <c r="H271" s="421"/>
      <c r="I271" s="375"/>
      <c r="J271" s="375"/>
      <c r="K271" s="375"/>
      <c r="L271" s="431">
        <f>Table146[[#This Row],[Green target threshold]]+Table146[[#This Row],[Green target threshold]]*0.5</f>
        <v>0</v>
      </c>
      <c r="M271" s="375"/>
      <c r="N271" s="375"/>
      <c r="O271" s="375"/>
      <c r="P271" s="431"/>
      <c r="Q271" s="431"/>
      <c r="R271" s="431">
        <f>Table146[[#This Row],[Red target threshold]]-Table146[[#This Row],[Red target threshold]]*0.5</f>
        <v>0</v>
      </c>
      <c r="S271" s="375"/>
      <c r="T271" s="399"/>
    </row>
    <row r="272" spans="1:20" s="362" customFormat="1" x14ac:dyDescent="0.25">
      <c r="A272" s="389"/>
      <c r="B272" s="372"/>
      <c r="C272" s="372"/>
      <c r="D272" s="372"/>
      <c r="E272" s="379"/>
      <c r="F272" s="380"/>
      <c r="G272" s="381"/>
      <c r="H272" s="421"/>
      <c r="I272" s="375"/>
      <c r="J272" s="375"/>
      <c r="K272" s="375"/>
      <c r="L272" s="431">
        <f>Table146[[#This Row],[Green target threshold]]+Table146[[#This Row],[Green target threshold]]*0.5</f>
        <v>0</v>
      </c>
      <c r="M272" s="375"/>
      <c r="N272" s="375"/>
      <c r="O272" s="375"/>
      <c r="P272" s="431"/>
      <c r="Q272" s="431"/>
      <c r="R272" s="431">
        <f>Table146[[#This Row],[Red target threshold]]-Table146[[#This Row],[Red target threshold]]*0.5</f>
        <v>0</v>
      </c>
      <c r="S272" s="375"/>
      <c r="T272" s="399"/>
    </row>
    <row r="273" spans="1:20" s="362" customFormat="1" x14ac:dyDescent="0.25">
      <c r="A273" s="389"/>
      <c r="B273" s="372"/>
      <c r="C273" s="372"/>
      <c r="D273" s="372"/>
      <c r="E273" s="382"/>
      <c r="F273" s="383"/>
      <c r="G273" s="384"/>
      <c r="H273" s="421"/>
      <c r="I273" s="375"/>
      <c r="J273" s="375"/>
      <c r="K273" s="375"/>
      <c r="L273" s="375">
        <f>Table146[[#This Row],[Green target threshold]]+Table146[[#This Row],[Green target threshold]]*0.5</f>
        <v>0</v>
      </c>
      <c r="M273" s="375"/>
      <c r="N273" s="375"/>
      <c r="O273" s="375"/>
      <c r="P273" s="375"/>
      <c r="Q273" s="375"/>
      <c r="R273" s="375">
        <f>Table146[[#This Row],[Red target threshold]]-Table146[[#This Row],[Red target threshold]]*0.5</f>
        <v>0</v>
      </c>
      <c r="S273" s="375"/>
      <c r="T273" s="399"/>
    </row>
    <row r="274" spans="1:20" s="362" customFormat="1" x14ac:dyDescent="0.25">
      <c r="A274" s="389"/>
      <c r="B274" s="372"/>
      <c r="C274" s="372"/>
      <c r="D274" s="372"/>
      <c r="E274" s="382"/>
      <c r="F274" s="383"/>
      <c r="G274" s="384"/>
      <c r="H274" s="421"/>
      <c r="I274" s="375"/>
      <c r="J274" s="375"/>
      <c r="K274" s="375"/>
      <c r="L274" s="375">
        <f>Table146[[#This Row],[Green target threshold]]+Table146[[#This Row],[Green target threshold]]*0.5</f>
        <v>0</v>
      </c>
      <c r="M274" s="375"/>
      <c r="N274" s="375"/>
      <c r="O274" s="375"/>
      <c r="P274" s="375"/>
      <c r="Q274" s="375"/>
      <c r="R274" s="375">
        <f>Table146[[#This Row],[Red target threshold]]-Table146[[#This Row],[Red target threshold]]*0.5</f>
        <v>0</v>
      </c>
      <c r="S274" s="375"/>
      <c r="T274" s="399"/>
    </row>
    <row r="275" spans="1:20" s="362" customFormat="1" x14ac:dyDescent="0.25">
      <c r="A275" s="389"/>
      <c r="B275" s="372"/>
      <c r="C275" s="372"/>
      <c r="D275" s="372"/>
      <c r="E275" s="382"/>
      <c r="F275" s="383"/>
      <c r="G275" s="384"/>
      <c r="H275" s="421"/>
      <c r="I275" s="375"/>
      <c r="J275" s="375"/>
      <c r="K275" s="375"/>
      <c r="L275" s="431">
        <f>Table146[[#This Row],[Green target threshold]]+Table146[[#This Row],[Green target threshold]]*0.5</f>
        <v>0</v>
      </c>
      <c r="M275" s="375"/>
      <c r="N275" s="375"/>
      <c r="O275" s="375"/>
      <c r="P275" s="431"/>
      <c r="Q275" s="431"/>
      <c r="R275" s="431">
        <f>Table146[[#This Row],[Red target threshold]]-Table146[[#This Row],[Red target threshold]]*0.5</f>
        <v>0</v>
      </c>
      <c r="S275" s="375"/>
      <c r="T275" s="399"/>
    </row>
    <row r="276" spans="1:20" s="362" customFormat="1" x14ac:dyDescent="0.25">
      <c r="A276" s="389"/>
      <c r="B276" s="372"/>
      <c r="C276" s="372"/>
      <c r="D276" s="372"/>
      <c r="E276" s="382"/>
      <c r="F276" s="383"/>
      <c r="G276" s="384"/>
      <c r="H276" s="421"/>
      <c r="I276" s="375"/>
      <c r="J276" s="375"/>
      <c r="K276" s="375"/>
      <c r="L276" s="431">
        <f>Table146[[#This Row],[Green target threshold]]+Table146[[#This Row],[Green target threshold]]*0.5</f>
        <v>0</v>
      </c>
      <c r="M276" s="375"/>
      <c r="N276" s="375"/>
      <c r="O276" s="375"/>
      <c r="P276" s="431"/>
      <c r="Q276" s="431"/>
      <c r="R276" s="431">
        <f>Table146[[#This Row],[Red target threshold]]-Table146[[#This Row],[Red target threshold]]*0.5</f>
        <v>0</v>
      </c>
      <c r="S276" s="375"/>
      <c r="T276" s="399"/>
    </row>
    <row r="277" spans="1:20" s="362" customFormat="1" x14ac:dyDescent="0.25">
      <c r="A277" s="389"/>
      <c r="B277" s="372"/>
      <c r="C277" s="372"/>
      <c r="D277" s="372"/>
      <c r="E277" s="382"/>
      <c r="F277" s="383"/>
      <c r="G277" s="384"/>
      <c r="H277" s="421"/>
      <c r="I277" s="375"/>
      <c r="J277" s="375"/>
      <c r="K277" s="375"/>
      <c r="L277" s="431">
        <f>Table146[[#This Row],[Green target threshold]]+Table146[[#This Row],[Green target threshold]]*0.5</f>
        <v>0</v>
      </c>
      <c r="M277" s="375"/>
      <c r="N277" s="375"/>
      <c r="O277" s="375"/>
      <c r="P277" s="431"/>
      <c r="Q277" s="431"/>
      <c r="R277" s="431">
        <f>Table146[[#This Row],[Red target threshold]]-Table146[[#This Row],[Red target threshold]]*0.5</f>
        <v>0</v>
      </c>
      <c r="S277" s="375"/>
      <c r="T277" s="399"/>
    </row>
    <row r="278" spans="1:20" s="386" customFormat="1" x14ac:dyDescent="0.25">
      <c r="A278" s="409"/>
      <c r="B278" s="406"/>
      <c r="C278" s="406"/>
      <c r="D278" s="406"/>
      <c r="E278" s="407">
        <v>2013</v>
      </c>
      <c r="F278" s="407">
        <v>2014</v>
      </c>
      <c r="G278" s="407">
        <v>2015</v>
      </c>
      <c r="H278" s="407"/>
      <c r="I278" s="407"/>
      <c r="J278" s="407"/>
      <c r="K278" s="407"/>
      <c r="L278" s="407">
        <f>Table146[[#This Row],[Green target threshold]]+Table146[[#This Row],[Green target threshold]]*0.5</f>
        <v>0</v>
      </c>
      <c r="M278" s="407"/>
      <c r="N278" s="407"/>
      <c r="O278" s="407"/>
      <c r="P278" s="407"/>
      <c r="Q278" s="407"/>
      <c r="R278" s="407">
        <f>Table146[[#This Row],[Red target threshold]]-Table146[[#This Row],[Red target threshold]]*0.5</f>
        <v>0</v>
      </c>
      <c r="S278" s="407"/>
      <c r="T278" s="413"/>
    </row>
    <row r="279" spans="1:20" x14ac:dyDescent="0.25">
      <c r="A279" s="418" t="s">
        <v>571</v>
      </c>
      <c r="B279" s="437" t="s">
        <v>483</v>
      </c>
      <c r="C279" s="437" t="s">
        <v>843</v>
      </c>
      <c r="D279" s="436" t="s">
        <v>904</v>
      </c>
      <c r="E279" s="420">
        <v>5.488310501</v>
      </c>
      <c r="F279" s="420">
        <v>5.2860607750000002</v>
      </c>
      <c r="G279" s="420">
        <v>5.1313796829999996</v>
      </c>
      <c r="H279" s="421">
        <v>2015</v>
      </c>
      <c r="I279" s="421">
        <v>5.1313796829999996</v>
      </c>
      <c r="J279" s="421">
        <v>2015</v>
      </c>
      <c r="K279" s="411">
        <v>7.7073099999999997</v>
      </c>
      <c r="L279" s="411">
        <f>Table146[[#This Row],[Green target threshold]]-Table146[[#This Row],[Green target threshold]]*0.5</f>
        <v>1.2828449207499999</v>
      </c>
      <c r="M279" s="421">
        <f>I279/2</f>
        <v>2.5656898414999998</v>
      </c>
      <c r="N279" s="421"/>
      <c r="O279" s="421" t="s">
        <v>982</v>
      </c>
      <c r="P279" s="421">
        <f>(M279-K279)*0.5+K279</f>
        <v>5.1364999207499995</v>
      </c>
      <c r="Q279" s="421">
        <f>K279</f>
        <v>7.7073099999999997</v>
      </c>
      <c r="R279" s="421">
        <f>Table146[[#This Row],[Red target threshold]]+Table146[[#This Row],[Red target threshold]]*0.5</f>
        <v>11.560964999999999</v>
      </c>
      <c r="S279" s="421" t="s">
        <v>984</v>
      </c>
      <c r="T279" s="419" t="s">
        <v>839</v>
      </c>
    </row>
    <row r="280" spans="1:20" x14ac:dyDescent="0.25">
      <c r="A280" s="390"/>
      <c r="B280" s="369"/>
      <c r="C280" s="369"/>
      <c r="D280" s="378" t="s">
        <v>712</v>
      </c>
      <c r="E280" s="379">
        <v>16.734988560000001</v>
      </c>
      <c r="F280" s="380">
        <v>16.582300740000001</v>
      </c>
      <c r="G280" s="381">
        <v>17.310574519999999</v>
      </c>
      <c r="H280" s="421"/>
      <c r="I280" s="375"/>
      <c r="J280" s="375"/>
      <c r="K280" s="375"/>
      <c r="L280" s="375">
        <f>Table146[[#This Row],[Green target threshold]]+Table146[[#This Row],[Green target threshold]]*0.5</f>
        <v>0</v>
      </c>
      <c r="M280" s="375"/>
      <c r="N280" s="375"/>
      <c r="O280" s="375"/>
      <c r="P280" s="375"/>
      <c r="Q280" s="375"/>
      <c r="R280" s="375">
        <f>Table146[[#This Row],[Red target threshold]]-Table146[[#This Row],[Red target threshold]]*0.5</f>
        <v>0</v>
      </c>
      <c r="S280" s="375"/>
      <c r="T280" s="396"/>
    </row>
    <row r="281" spans="1:20" x14ac:dyDescent="0.25">
      <c r="A281" s="390"/>
      <c r="B281" s="369"/>
      <c r="C281" s="369"/>
      <c r="D281" s="378" t="s">
        <v>840</v>
      </c>
      <c r="E281" s="379">
        <v>11.89074847</v>
      </c>
      <c r="F281" s="380">
        <v>11.0696613</v>
      </c>
      <c r="G281" s="381">
        <v>9.9933753870000004</v>
      </c>
      <c r="H281" s="421"/>
      <c r="I281" s="375"/>
      <c r="J281" s="375"/>
      <c r="K281" s="375"/>
      <c r="L281" s="375">
        <f>Table146[[#This Row],[Green target threshold]]+Table146[[#This Row],[Green target threshold]]*0.5</f>
        <v>0</v>
      </c>
      <c r="M281" s="375"/>
      <c r="N281" s="375"/>
      <c r="O281" s="375"/>
      <c r="P281" s="375"/>
      <c r="Q281" s="375"/>
      <c r="R281" s="375">
        <f>Table146[[#This Row],[Red target threshold]]-Table146[[#This Row],[Red target threshold]]*0.5</f>
        <v>0</v>
      </c>
      <c r="S281" s="375"/>
      <c r="T281" s="396"/>
    </row>
    <row r="282" spans="1:20" x14ac:dyDescent="0.25">
      <c r="A282" s="390"/>
      <c r="B282" s="369"/>
      <c r="C282" s="369"/>
      <c r="D282" s="378" t="s">
        <v>776</v>
      </c>
      <c r="E282" s="379">
        <v>8.8373241339999993</v>
      </c>
      <c r="F282" s="380">
        <v>9.0336274939999992</v>
      </c>
      <c r="G282" s="381">
        <v>8.6993253500000005</v>
      </c>
      <c r="H282" s="421"/>
      <c r="I282" s="375"/>
      <c r="J282" s="375"/>
      <c r="K282" s="375"/>
      <c r="L282" s="375">
        <f>Table146[[#This Row],[Green target threshold]]+Table146[[#This Row],[Green target threshold]]*0.5</f>
        <v>0</v>
      </c>
      <c r="M282" s="375"/>
      <c r="N282" s="375"/>
      <c r="O282" s="375"/>
      <c r="P282" s="375"/>
      <c r="Q282" s="375"/>
      <c r="R282" s="375">
        <f>Table146[[#This Row],[Red target threshold]]-Table146[[#This Row],[Red target threshold]]*0.5</f>
        <v>0</v>
      </c>
      <c r="S282" s="375"/>
      <c r="T282" s="396"/>
    </row>
    <row r="283" spans="1:20" x14ac:dyDescent="0.25">
      <c r="A283" s="390"/>
      <c r="B283" s="369"/>
      <c r="C283" s="369"/>
      <c r="D283" s="378" t="s">
        <v>841</v>
      </c>
      <c r="E283" s="379">
        <v>8.4565370820000005</v>
      </c>
      <c r="F283" s="380">
        <v>8.3456060240000003</v>
      </c>
      <c r="G283" s="381">
        <v>8.4132177509999995</v>
      </c>
      <c r="H283" s="421"/>
      <c r="I283" s="375"/>
      <c r="J283" s="375"/>
      <c r="K283" s="375"/>
      <c r="L283" s="375">
        <f>Table146[[#This Row],[Green target threshold]]+Table146[[#This Row],[Green target threshold]]*0.5</f>
        <v>0</v>
      </c>
      <c r="M283" s="375"/>
      <c r="N283" s="375"/>
      <c r="O283" s="375"/>
      <c r="P283" s="375"/>
      <c r="Q283" s="375"/>
      <c r="R283" s="375">
        <f>Table146[[#This Row],[Red target threshold]]-Table146[[#This Row],[Red target threshold]]*0.5</f>
        <v>0</v>
      </c>
      <c r="S283" s="375"/>
      <c r="T283" s="396"/>
    </row>
    <row r="284" spans="1:20" x14ac:dyDescent="0.25">
      <c r="A284" s="390"/>
      <c r="B284" s="369"/>
      <c r="C284" s="369"/>
      <c r="D284" s="378" t="s">
        <v>842</v>
      </c>
      <c r="E284" s="379">
        <v>7.9524161830000004</v>
      </c>
      <c r="F284" s="380">
        <v>8.1606778260000006</v>
      </c>
      <c r="G284" s="381">
        <v>8.3922668569999992</v>
      </c>
      <c r="H284" s="421"/>
      <c r="I284" s="375"/>
      <c r="J284" s="375"/>
      <c r="K284" s="375"/>
      <c r="L284" s="375">
        <f>Table146[[#This Row],[Green target threshold]]+Table146[[#This Row],[Green target threshold]]*0.5</f>
        <v>0</v>
      </c>
      <c r="M284" s="375"/>
      <c r="N284" s="375"/>
      <c r="O284" s="375"/>
      <c r="P284" s="375"/>
      <c r="Q284" s="375"/>
      <c r="R284" s="375">
        <f>Table146[[#This Row],[Red target threshold]]-Table146[[#This Row],[Red target threshold]]*0.5</f>
        <v>0</v>
      </c>
      <c r="S284" s="375"/>
      <c r="T284" s="396"/>
    </row>
    <row r="285" spans="1:20" x14ac:dyDescent="0.25">
      <c r="A285" s="390"/>
      <c r="B285" s="369"/>
      <c r="C285" s="369"/>
      <c r="D285" s="378" t="s">
        <v>708</v>
      </c>
      <c r="E285" s="382">
        <v>1.573636727</v>
      </c>
      <c r="F285" s="383">
        <v>1.5536858140000001</v>
      </c>
      <c r="G285" s="384">
        <v>1.488085793</v>
      </c>
      <c r="H285" s="421"/>
      <c r="I285" s="375"/>
      <c r="J285" s="375"/>
      <c r="K285" s="375"/>
      <c r="L285" s="375">
        <f>Table146[[#This Row],[Green target threshold]]+Table146[[#This Row],[Green target threshold]]*0.5</f>
        <v>0</v>
      </c>
      <c r="M285" s="375"/>
      <c r="N285" s="375"/>
      <c r="O285" s="375"/>
      <c r="P285" s="375"/>
      <c r="Q285" s="375"/>
      <c r="R285" s="375">
        <f>Table146[[#This Row],[Red target threshold]]-Table146[[#This Row],[Red target threshold]]*0.5</f>
        <v>0</v>
      </c>
      <c r="S285" s="375"/>
      <c r="T285" s="396"/>
    </row>
    <row r="286" spans="1:20" x14ac:dyDescent="0.25">
      <c r="A286" s="390"/>
      <c r="B286" s="369"/>
      <c r="C286" s="369"/>
      <c r="D286" s="378" t="s">
        <v>681</v>
      </c>
      <c r="E286" s="382">
        <v>2.5662079969999998</v>
      </c>
      <c r="F286" s="383">
        <v>2.3651286439999999</v>
      </c>
      <c r="G286" s="384">
        <v>1.94829341</v>
      </c>
      <c r="H286" s="421"/>
      <c r="I286" s="375"/>
      <c r="J286" s="375"/>
      <c r="K286" s="375"/>
      <c r="L286" s="375">
        <f>Table146[[#This Row],[Green target threshold]]+Table146[[#This Row],[Green target threshold]]*0.5</f>
        <v>0</v>
      </c>
      <c r="M286" s="375"/>
      <c r="N286" s="375"/>
      <c r="O286" s="375"/>
      <c r="P286" s="375"/>
      <c r="Q286" s="375"/>
      <c r="R286" s="375">
        <f>Table146[[#This Row],[Red target threshold]]-Table146[[#This Row],[Red target threshold]]*0.5</f>
        <v>0</v>
      </c>
      <c r="S286" s="375"/>
      <c r="T286" s="396"/>
    </row>
    <row r="287" spans="1:20" x14ac:dyDescent="0.25">
      <c r="A287" s="390"/>
      <c r="B287" s="369"/>
      <c r="C287" s="369"/>
      <c r="D287" s="378" t="s">
        <v>844</v>
      </c>
      <c r="E287" s="382">
        <v>1.9929817830000001</v>
      </c>
      <c r="F287" s="383">
        <v>2.0328378420000002</v>
      </c>
      <c r="G287" s="384">
        <v>2.0641317899999998</v>
      </c>
      <c r="H287" s="421"/>
      <c r="I287" s="375"/>
      <c r="J287" s="375"/>
      <c r="K287" s="375"/>
      <c r="L287" s="375">
        <f>Table146[[#This Row],[Green target threshold]]+Table146[[#This Row],[Green target threshold]]*0.5</f>
        <v>0</v>
      </c>
      <c r="M287" s="375"/>
      <c r="N287" s="375"/>
      <c r="O287" s="375"/>
      <c r="P287" s="375"/>
      <c r="Q287" s="375"/>
      <c r="R287" s="375">
        <f>Table146[[#This Row],[Red target threshold]]-Table146[[#This Row],[Red target threshold]]*0.5</f>
        <v>0</v>
      </c>
      <c r="S287" s="375"/>
      <c r="T287" s="396"/>
    </row>
    <row r="288" spans="1:20" x14ac:dyDescent="0.25">
      <c r="A288" s="390"/>
      <c r="B288" s="369"/>
      <c r="C288" s="369"/>
      <c r="D288" s="378" t="s">
        <v>845</v>
      </c>
      <c r="E288" s="382">
        <v>2.1300609690000001</v>
      </c>
      <c r="F288" s="383">
        <v>2.1336234599999999</v>
      </c>
      <c r="G288" s="384">
        <v>2.1072221440000001</v>
      </c>
      <c r="H288" s="421"/>
      <c r="I288" s="375"/>
      <c r="J288" s="375"/>
      <c r="K288" s="375"/>
      <c r="L288" s="375">
        <f>Table146[[#This Row],[Green target threshold]]+Table146[[#This Row],[Green target threshold]]*0.5</f>
        <v>0</v>
      </c>
      <c r="M288" s="375"/>
      <c r="N288" s="375"/>
      <c r="O288" s="375"/>
      <c r="P288" s="375"/>
      <c r="Q288" s="375"/>
      <c r="R288" s="375">
        <f>Table146[[#This Row],[Red target threshold]]-Table146[[#This Row],[Red target threshold]]*0.5</f>
        <v>0</v>
      </c>
      <c r="S288" s="375"/>
      <c r="T288" s="396"/>
    </row>
    <row r="289" spans="1:20" x14ac:dyDescent="0.25">
      <c r="A289" s="390"/>
      <c r="B289" s="369"/>
      <c r="C289" s="369"/>
      <c r="D289" s="378" t="s">
        <v>700</v>
      </c>
      <c r="E289" s="382">
        <v>2.5192469700000002</v>
      </c>
      <c r="F289" s="383">
        <v>2.2604591460000001</v>
      </c>
      <c r="G289" s="384">
        <v>2.194576273</v>
      </c>
      <c r="H289" s="421"/>
      <c r="I289" s="375"/>
      <c r="J289" s="375"/>
      <c r="K289" s="375"/>
      <c r="L289" s="375">
        <f>Table146[[#This Row],[Green target threshold]]+Table146[[#This Row],[Green target threshold]]*0.5</f>
        <v>0</v>
      </c>
      <c r="M289" s="375"/>
      <c r="N289" s="375"/>
      <c r="O289" s="375"/>
      <c r="P289" s="375"/>
      <c r="Q289" s="375"/>
      <c r="R289" s="375">
        <f>Table146[[#This Row],[Red target threshold]]-Table146[[#This Row],[Red target threshold]]*0.5</f>
        <v>0</v>
      </c>
      <c r="S289" s="375"/>
      <c r="T289" s="396"/>
    </row>
    <row r="290" spans="1:20" s="386" customFormat="1" x14ac:dyDescent="0.25">
      <c r="A290" s="409"/>
      <c r="B290" s="406"/>
      <c r="C290" s="406"/>
      <c r="D290" s="406"/>
      <c r="E290" s="407"/>
      <c r="F290" s="407"/>
      <c r="G290" s="407">
        <v>2015</v>
      </c>
      <c r="H290" s="407"/>
      <c r="I290" s="407"/>
      <c r="J290" s="407"/>
      <c r="K290" s="407"/>
      <c r="L290" s="407">
        <f>Table146[[#This Row],[Green target threshold]]+Table146[[#This Row],[Green target threshold]]*0.5</f>
        <v>0</v>
      </c>
      <c r="M290" s="407"/>
      <c r="N290" s="407"/>
      <c r="O290" s="407"/>
      <c r="P290" s="407"/>
      <c r="Q290" s="407"/>
      <c r="R290" s="407">
        <f>Table146[[#This Row],[Red target threshold]]-Table146[[#This Row],[Red target threshold]]*0.5</f>
        <v>0</v>
      </c>
      <c r="S290" s="407"/>
      <c r="T290" s="413"/>
    </row>
    <row r="291" spans="1:20" x14ac:dyDescent="0.25">
      <c r="A291" s="418" t="s">
        <v>572</v>
      </c>
      <c r="B291" s="344" t="s">
        <v>486</v>
      </c>
      <c r="C291" s="437" t="s">
        <v>473</v>
      </c>
      <c r="D291" s="436" t="s">
        <v>904</v>
      </c>
      <c r="E291" s="420"/>
      <c r="F291" s="420"/>
      <c r="G291" s="420">
        <f>0.003766*100</f>
        <v>0.37659999999999999</v>
      </c>
      <c r="H291" s="421">
        <v>2015</v>
      </c>
      <c r="I291" s="421">
        <v>0.03</v>
      </c>
      <c r="J291" s="421">
        <v>2015</v>
      </c>
      <c r="K291" s="411">
        <v>3.4072400000000003E-2</v>
      </c>
      <c r="L291" s="411">
        <v>1</v>
      </c>
      <c r="M291" s="421">
        <f>Table14[[#This Row],[Data reference value]]+Table14[[#This Row],[Data reference value]]*Table14[[#This Row],[Ambitious target improvement rate 2030]]</f>
        <v>0.244804065099676</v>
      </c>
      <c r="N291" s="421">
        <v>0.5</v>
      </c>
      <c r="O291" s="421" t="s">
        <v>1140</v>
      </c>
      <c r="P291" s="421">
        <f>(M291-K291)*0.5+K291</f>
        <v>0.139438232549838</v>
      </c>
      <c r="Q291" s="421">
        <f>K291</f>
        <v>3.4072400000000003E-2</v>
      </c>
      <c r="R291" s="421">
        <v>0</v>
      </c>
      <c r="S291" s="421" t="s">
        <v>1144</v>
      </c>
      <c r="T291" s="419" t="s">
        <v>837</v>
      </c>
    </row>
    <row r="292" spans="1:20" x14ac:dyDescent="0.25">
      <c r="A292" s="390"/>
      <c r="B292" s="369"/>
      <c r="C292" s="369"/>
      <c r="D292" s="378" t="s">
        <v>834</v>
      </c>
      <c r="E292" s="379"/>
      <c r="F292" s="380"/>
      <c r="G292" s="381">
        <v>1.4</v>
      </c>
      <c r="H292" s="421"/>
      <c r="I292" s="375"/>
      <c r="J292" s="375"/>
      <c r="K292" s="375"/>
      <c r="L292" s="375">
        <f>Table146[[#This Row],[Green target threshold]]+Table146[[#This Row],[Green target threshold]]*0.5</f>
        <v>0</v>
      </c>
      <c r="M292" s="375"/>
      <c r="N292" s="375"/>
      <c r="O292" s="375"/>
      <c r="P292" s="375"/>
      <c r="Q292" s="375"/>
      <c r="R292" s="375">
        <f>Table146[[#This Row],[Red target threshold]]-Table146[[#This Row],[Red target threshold]]*0.5</f>
        <v>0</v>
      </c>
      <c r="S292" s="375"/>
      <c r="T292" s="396"/>
    </row>
    <row r="293" spans="1:20" x14ac:dyDescent="0.25">
      <c r="A293" s="390"/>
      <c r="B293" s="369"/>
      <c r="C293" s="369"/>
      <c r="D293" s="378" t="s">
        <v>776</v>
      </c>
      <c r="E293" s="379"/>
      <c r="F293" s="380"/>
      <c r="G293" s="381">
        <v>1.4</v>
      </c>
      <c r="H293" s="421"/>
      <c r="I293" s="375"/>
      <c r="J293" s="375"/>
      <c r="K293" s="375"/>
      <c r="L293" s="375">
        <f>Table146[[#This Row],[Green target threshold]]+Table146[[#This Row],[Green target threshold]]*0.5</f>
        <v>0</v>
      </c>
      <c r="M293" s="375"/>
      <c r="N293" s="375"/>
      <c r="O293" s="375"/>
      <c r="P293" s="375"/>
      <c r="Q293" s="375"/>
      <c r="R293" s="375">
        <f>Table146[[#This Row],[Red target threshold]]-Table146[[#This Row],[Red target threshold]]*0.5</f>
        <v>0</v>
      </c>
      <c r="S293" s="375"/>
      <c r="T293" s="396"/>
    </row>
    <row r="294" spans="1:20" x14ac:dyDescent="0.25">
      <c r="A294" s="390"/>
      <c r="B294" s="369"/>
      <c r="C294" s="369"/>
      <c r="D294" s="378" t="s">
        <v>777</v>
      </c>
      <c r="E294" s="379"/>
      <c r="F294" s="380"/>
      <c r="G294" s="381">
        <v>0.9</v>
      </c>
      <c r="H294" s="421"/>
      <c r="I294" s="375"/>
      <c r="J294" s="375"/>
      <c r="K294" s="375"/>
      <c r="L294" s="375">
        <f>Table146[[#This Row],[Green target threshold]]+Table146[[#This Row],[Green target threshold]]*0.5</f>
        <v>0</v>
      </c>
      <c r="M294" s="375"/>
      <c r="N294" s="375"/>
      <c r="O294" s="375"/>
      <c r="P294" s="375"/>
      <c r="Q294" s="375"/>
      <c r="R294" s="375">
        <f>Table146[[#This Row],[Red target threshold]]-Table146[[#This Row],[Red target threshold]]*0.5</f>
        <v>0</v>
      </c>
      <c r="S294" s="375"/>
      <c r="T294" s="396"/>
    </row>
    <row r="295" spans="1:20" x14ac:dyDescent="0.25">
      <c r="A295" s="390"/>
      <c r="B295" s="369"/>
      <c r="C295" s="369"/>
      <c r="D295" s="378" t="s">
        <v>715</v>
      </c>
      <c r="E295" s="379"/>
      <c r="F295" s="380"/>
      <c r="G295" s="381">
        <v>0.8</v>
      </c>
      <c r="H295" s="421"/>
      <c r="I295" s="375"/>
      <c r="J295" s="375"/>
      <c r="K295" s="375"/>
      <c r="L295" s="375">
        <f>Table146[[#This Row],[Green target threshold]]+Table146[[#This Row],[Green target threshold]]*0.5</f>
        <v>0</v>
      </c>
      <c r="M295" s="375"/>
      <c r="N295" s="375"/>
      <c r="O295" s="375"/>
      <c r="P295" s="375"/>
      <c r="Q295" s="375"/>
      <c r="R295" s="375">
        <f>Table146[[#This Row],[Red target threshold]]-Table146[[#This Row],[Red target threshold]]*0.5</f>
        <v>0</v>
      </c>
      <c r="S295" s="375"/>
      <c r="T295" s="396"/>
    </row>
    <row r="296" spans="1:20" x14ac:dyDescent="0.25">
      <c r="A296" s="390"/>
      <c r="B296" s="369"/>
      <c r="C296" s="369"/>
      <c r="D296" s="378" t="s">
        <v>835</v>
      </c>
      <c r="E296" s="379"/>
      <c r="F296" s="380"/>
      <c r="G296" s="381">
        <v>0.8</v>
      </c>
      <c r="H296" s="421"/>
      <c r="I296" s="375"/>
      <c r="J296" s="375"/>
      <c r="K296" s="375"/>
      <c r="L296" s="375">
        <f>Table146[[#This Row],[Green target threshold]]+Table146[[#This Row],[Green target threshold]]*0.5</f>
        <v>0</v>
      </c>
      <c r="M296" s="375"/>
      <c r="N296" s="375"/>
      <c r="O296" s="375"/>
      <c r="P296" s="375"/>
      <c r="Q296" s="375"/>
      <c r="R296" s="375">
        <f>Table146[[#This Row],[Red target threshold]]-Table146[[#This Row],[Red target threshold]]*0.5</f>
        <v>0</v>
      </c>
      <c r="S296" s="375"/>
      <c r="T296" s="396"/>
    </row>
    <row r="297" spans="1:20" x14ac:dyDescent="0.25">
      <c r="A297" s="390"/>
      <c r="B297" s="369"/>
      <c r="C297" s="369"/>
      <c r="D297" s="378" t="s">
        <v>691</v>
      </c>
      <c r="E297" s="382"/>
      <c r="F297" s="383"/>
      <c r="G297" s="384">
        <v>0.5</v>
      </c>
      <c r="H297" s="421"/>
      <c r="I297" s="375"/>
      <c r="J297" s="375"/>
      <c r="K297" s="375"/>
      <c r="L297" s="375">
        <f>Table146[[#This Row],[Green target threshold]]+Table146[[#This Row],[Green target threshold]]*0.5</f>
        <v>0</v>
      </c>
      <c r="M297" s="375"/>
      <c r="N297" s="375"/>
      <c r="O297" s="375"/>
      <c r="P297" s="375"/>
      <c r="Q297" s="375"/>
      <c r="R297" s="375">
        <f>Table146[[#This Row],[Red target threshold]]-Table146[[#This Row],[Red target threshold]]*0.5</f>
        <v>0</v>
      </c>
      <c r="S297" s="375"/>
      <c r="T297" s="396"/>
    </row>
    <row r="298" spans="1:20" x14ac:dyDescent="0.25">
      <c r="A298" s="390"/>
      <c r="B298" s="369"/>
      <c r="C298" s="369"/>
      <c r="D298" s="378" t="s">
        <v>778</v>
      </c>
      <c r="E298" s="382"/>
      <c r="F298" s="383"/>
      <c r="G298" s="384">
        <v>0.4</v>
      </c>
      <c r="H298" s="421"/>
      <c r="I298" s="375"/>
      <c r="J298" s="375"/>
      <c r="K298" s="375"/>
      <c r="L298" s="375">
        <f>Table146[[#This Row],[Green target threshold]]+Table146[[#This Row],[Green target threshold]]*0.5</f>
        <v>0</v>
      </c>
      <c r="M298" s="375"/>
      <c r="N298" s="375"/>
      <c r="O298" s="375"/>
      <c r="P298" s="375"/>
      <c r="Q298" s="375"/>
      <c r="R298" s="375">
        <f>Table146[[#This Row],[Red target threshold]]-Table146[[#This Row],[Red target threshold]]*0.5</f>
        <v>0</v>
      </c>
      <c r="S298" s="375"/>
      <c r="T298" s="396"/>
    </row>
    <row r="299" spans="1:20" x14ac:dyDescent="0.25">
      <c r="A299" s="390"/>
      <c r="B299" s="369"/>
      <c r="C299" s="369"/>
      <c r="D299" s="378" t="s">
        <v>720</v>
      </c>
      <c r="E299" s="382"/>
      <c r="F299" s="383"/>
      <c r="G299" s="384">
        <v>0.3</v>
      </c>
      <c r="H299" s="421"/>
      <c r="I299" s="375"/>
      <c r="J299" s="375"/>
      <c r="K299" s="375"/>
      <c r="L299" s="375">
        <f>Table146[[#This Row],[Green target threshold]]+Table146[[#This Row],[Green target threshold]]*0.5</f>
        <v>0</v>
      </c>
      <c r="M299" s="375"/>
      <c r="N299" s="375"/>
      <c r="O299" s="375"/>
      <c r="P299" s="375"/>
      <c r="Q299" s="375"/>
      <c r="R299" s="375">
        <f>Table146[[#This Row],[Red target threshold]]-Table146[[#This Row],[Red target threshold]]*0.5</f>
        <v>0</v>
      </c>
      <c r="S299" s="375"/>
      <c r="T299" s="396"/>
    </row>
    <row r="300" spans="1:20" x14ac:dyDescent="0.25">
      <c r="A300" s="390"/>
      <c r="B300" s="369"/>
      <c r="C300" s="369"/>
      <c r="D300" s="378" t="s">
        <v>836</v>
      </c>
      <c r="E300" s="382"/>
      <c r="F300" s="383"/>
      <c r="G300" s="384">
        <v>0.3</v>
      </c>
      <c r="H300" s="421"/>
      <c r="I300" s="375"/>
      <c r="J300" s="375"/>
      <c r="K300" s="375"/>
      <c r="L300" s="375">
        <f>Table146[[#This Row],[Green target threshold]]+Table146[[#This Row],[Green target threshold]]*0.5</f>
        <v>0</v>
      </c>
      <c r="M300" s="375"/>
      <c r="N300" s="375"/>
      <c r="O300" s="375"/>
      <c r="P300" s="375"/>
      <c r="Q300" s="375"/>
      <c r="R300" s="375">
        <f>Table146[[#This Row],[Red target threshold]]-Table146[[#This Row],[Red target threshold]]*0.5</f>
        <v>0</v>
      </c>
      <c r="S300" s="375"/>
      <c r="T300" s="396"/>
    </row>
    <row r="301" spans="1:20" x14ac:dyDescent="0.25">
      <c r="A301" s="390"/>
      <c r="B301" s="369"/>
      <c r="C301" s="369"/>
      <c r="D301" s="378" t="s">
        <v>703</v>
      </c>
      <c r="E301" s="382"/>
      <c r="F301" s="383"/>
      <c r="G301" s="384">
        <v>0.2</v>
      </c>
      <c r="H301" s="421"/>
      <c r="I301" s="375"/>
      <c r="J301" s="375"/>
      <c r="K301" s="375"/>
      <c r="L301" s="375">
        <f>Table146[[#This Row],[Green target threshold]]+Table146[[#This Row],[Green target threshold]]*0.5</f>
        <v>0</v>
      </c>
      <c r="M301" s="375"/>
      <c r="N301" s="375"/>
      <c r="O301" s="375"/>
      <c r="P301" s="375"/>
      <c r="Q301" s="375"/>
      <c r="R301" s="375">
        <f>Table146[[#This Row],[Red target threshold]]-Table146[[#This Row],[Red target threshold]]*0.5</f>
        <v>0</v>
      </c>
      <c r="S301" s="375"/>
      <c r="T301" s="396"/>
    </row>
    <row r="302" spans="1:20" s="386" customFormat="1" x14ac:dyDescent="0.25">
      <c r="A302" s="409"/>
      <c r="B302" s="406"/>
      <c r="C302" s="406"/>
      <c r="D302" s="406"/>
      <c r="E302" s="407">
        <v>2016</v>
      </c>
      <c r="F302" s="407">
        <v>2017</v>
      </c>
      <c r="G302" s="407">
        <v>2018</v>
      </c>
      <c r="H302" s="407"/>
      <c r="I302" s="407"/>
      <c r="J302" s="407"/>
      <c r="K302" s="407"/>
      <c r="L302" s="407">
        <f>Table146[[#This Row],[Green target threshold]]+Table146[[#This Row],[Green target threshold]]*0.5</f>
        <v>0</v>
      </c>
      <c r="M302" s="407"/>
      <c r="N302" s="407"/>
      <c r="O302" s="407"/>
      <c r="P302" s="407"/>
      <c r="Q302" s="407"/>
      <c r="R302" s="407">
        <f>Table146[[#This Row],[Red target threshold]]-Table146[[#This Row],[Red target threshold]]*0.5</f>
        <v>0</v>
      </c>
      <c r="S302" s="407"/>
      <c r="T302" s="413"/>
    </row>
    <row r="303" spans="1:20" x14ac:dyDescent="0.25">
      <c r="A303" s="418" t="s">
        <v>527</v>
      </c>
      <c r="B303" s="437" t="s">
        <v>1122</v>
      </c>
      <c r="C303" s="437" t="s">
        <v>582</v>
      </c>
      <c r="D303" s="436" t="s">
        <v>904</v>
      </c>
      <c r="E303" s="420">
        <v>10.2580066199183</v>
      </c>
      <c r="F303" s="420">
        <v>10.780813151679199</v>
      </c>
      <c r="G303" s="420">
        <v>11.317270582730499</v>
      </c>
      <c r="H303" s="421">
        <v>2016</v>
      </c>
      <c r="I303" s="421">
        <v>10.2580066199183</v>
      </c>
      <c r="J303" s="421">
        <v>2015</v>
      </c>
      <c r="K303" s="411">
        <v>8.3279399999999999</v>
      </c>
      <c r="L303" s="411">
        <f>Table146[[#This Row],[Green target threshold]]+Table146[[#This Row],[Green target threshold]]*0.5</f>
        <v>34.47</v>
      </c>
      <c r="M303" s="421">
        <v>22.98</v>
      </c>
      <c r="N303" s="421"/>
      <c r="O303" s="421" t="s">
        <v>982</v>
      </c>
      <c r="P303" s="421">
        <f>(M303-K303)*0.5+K303</f>
        <v>15.653970000000001</v>
      </c>
      <c r="Q303" s="421">
        <f>K303</f>
        <v>8.3279399999999999</v>
      </c>
      <c r="R303" s="421">
        <f>Table146[[#This Row],[Red target threshold]]-Table146[[#This Row],[Red target threshold]]*0.5</f>
        <v>4.1639699999999999</v>
      </c>
      <c r="S303" s="421" t="s">
        <v>1135</v>
      </c>
      <c r="T303" s="419" t="s">
        <v>698</v>
      </c>
    </row>
    <row r="304" spans="1:20" x14ac:dyDescent="0.25">
      <c r="A304" s="390"/>
      <c r="B304" s="369"/>
      <c r="C304" s="369"/>
      <c r="D304" s="369" t="s">
        <v>699</v>
      </c>
      <c r="E304" s="379">
        <v>104.278390971905</v>
      </c>
      <c r="F304" s="380">
        <v>107.361306947271</v>
      </c>
      <c r="G304" s="381">
        <v>116.59729563795399</v>
      </c>
      <c r="H304" s="421"/>
      <c r="I304" s="375"/>
      <c r="J304" s="375"/>
      <c r="K304" s="375"/>
      <c r="L304" s="375">
        <f>Table146[[#This Row],[Green target threshold]]+Table146[[#This Row],[Green target threshold]]*0.5</f>
        <v>0</v>
      </c>
      <c r="M304" s="375"/>
      <c r="N304" s="375"/>
      <c r="O304" s="375"/>
      <c r="P304" s="375"/>
      <c r="Q304" s="375"/>
      <c r="R304" s="375">
        <f>Table146[[#This Row],[Red target threshold]]-Table146[[#This Row],[Red target threshold]]*0.5</f>
        <v>0</v>
      </c>
      <c r="S304" s="375"/>
      <c r="T304" s="396"/>
    </row>
    <row r="305" spans="1:21" x14ac:dyDescent="0.25">
      <c r="A305" s="390"/>
      <c r="B305" s="369"/>
      <c r="C305" s="369"/>
      <c r="D305" s="369" t="s">
        <v>700</v>
      </c>
      <c r="E305" s="379">
        <v>80.172193303926605</v>
      </c>
      <c r="F305" s="380">
        <v>80.450045819741291</v>
      </c>
      <c r="G305" s="381">
        <v>82.828797372173</v>
      </c>
      <c r="H305" s="421"/>
      <c r="I305" s="375"/>
      <c r="J305" s="375"/>
      <c r="K305" s="375"/>
      <c r="L305" s="375">
        <f>Table146[[#This Row],[Green target threshold]]+Table146[[#This Row],[Green target threshold]]*0.5</f>
        <v>0</v>
      </c>
      <c r="M305" s="375"/>
      <c r="N305" s="375"/>
      <c r="O305" s="375"/>
      <c r="P305" s="375"/>
      <c r="Q305" s="375"/>
      <c r="R305" s="375">
        <f>Table146[[#This Row],[Red target threshold]]-Table146[[#This Row],[Red target threshold]]*0.5</f>
        <v>0</v>
      </c>
      <c r="S305" s="375"/>
      <c r="T305" s="396"/>
    </row>
    <row r="306" spans="1:21" x14ac:dyDescent="0.25">
      <c r="A306" s="390"/>
      <c r="B306" s="369"/>
      <c r="C306" s="369"/>
      <c r="D306" s="369" t="s">
        <v>701</v>
      </c>
      <c r="E306" s="379">
        <v>57.1630609918357</v>
      </c>
      <c r="F306" s="380">
        <v>61.264396477797895</v>
      </c>
      <c r="G306" s="381">
        <v>68.793784437261408</v>
      </c>
      <c r="H306" s="421"/>
      <c r="I306" s="375"/>
      <c r="J306" s="375"/>
      <c r="K306" s="375"/>
      <c r="L306" s="375">
        <f>Table146[[#This Row],[Green target threshold]]+Table146[[#This Row],[Green target threshold]]*0.5</f>
        <v>0</v>
      </c>
      <c r="M306" s="375"/>
      <c r="N306" s="375"/>
      <c r="O306" s="375"/>
      <c r="P306" s="375"/>
      <c r="Q306" s="375"/>
      <c r="R306" s="375">
        <f>Table146[[#This Row],[Red target threshold]]-Table146[[#This Row],[Red target threshold]]*0.5</f>
        <v>0</v>
      </c>
      <c r="S306" s="375"/>
      <c r="T306" s="396"/>
    </row>
    <row r="307" spans="1:21" x14ac:dyDescent="0.25">
      <c r="A307" s="390"/>
      <c r="B307" s="369"/>
      <c r="C307" s="369"/>
      <c r="D307" s="369" t="s">
        <v>702</v>
      </c>
      <c r="E307" s="379">
        <v>56.724170385886296</v>
      </c>
      <c r="F307" s="380">
        <v>60.2977937806208</v>
      </c>
      <c r="G307" s="381">
        <v>64.581944018395404</v>
      </c>
      <c r="H307" s="421"/>
      <c r="I307" s="375"/>
      <c r="J307" s="375"/>
      <c r="K307" s="375"/>
      <c r="L307" s="375">
        <f>Table146[[#This Row],[Green target threshold]]+Table146[[#This Row],[Green target threshold]]*0.5</f>
        <v>0</v>
      </c>
      <c r="M307" s="375"/>
      <c r="N307" s="375"/>
      <c r="O307" s="375"/>
      <c r="P307" s="375"/>
      <c r="Q307" s="375"/>
      <c r="R307" s="375">
        <f>Table146[[#This Row],[Red target threshold]]-Table146[[#This Row],[Red target threshold]]*0.5</f>
        <v>0</v>
      </c>
      <c r="S307" s="375"/>
      <c r="T307" s="396"/>
    </row>
    <row r="308" spans="1:21" x14ac:dyDescent="0.25">
      <c r="A308" s="390"/>
      <c r="B308" s="369"/>
      <c r="C308" s="369"/>
      <c r="D308" s="369" t="s">
        <v>703</v>
      </c>
      <c r="E308" s="379">
        <v>57.927516851506205</v>
      </c>
      <c r="F308" s="380">
        <v>59.957725851303202</v>
      </c>
      <c r="G308" s="381">
        <v>62.8868364845599</v>
      </c>
      <c r="H308" s="421"/>
      <c r="I308" s="375"/>
      <c r="J308" s="375"/>
      <c r="K308" s="375"/>
      <c r="L308" s="375">
        <f>Table146[[#This Row],[Green target threshold]]+Table146[[#This Row],[Green target threshold]]*0.5</f>
        <v>0</v>
      </c>
      <c r="M308" s="375"/>
      <c r="N308" s="375"/>
      <c r="O308" s="375"/>
      <c r="P308" s="375"/>
      <c r="Q308" s="375"/>
      <c r="R308" s="375">
        <f>Table146[[#This Row],[Red target threshold]]-Table146[[#This Row],[Red target threshold]]*0.5</f>
        <v>0</v>
      </c>
      <c r="S308" s="375"/>
      <c r="T308" s="396"/>
    </row>
    <row r="309" spans="1:21" x14ac:dyDescent="0.25">
      <c r="A309" s="390"/>
      <c r="B309" s="369"/>
      <c r="C309" s="369"/>
      <c r="D309" s="369" t="s">
        <v>683</v>
      </c>
      <c r="E309" s="382">
        <v>0.29596785164512701</v>
      </c>
      <c r="F309" s="383">
        <v>0.30905535477005602</v>
      </c>
      <c r="G309" s="384">
        <v>0.31454416567076299</v>
      </c>
      <c r="H309" s="421"/>
      <c r="I309" s="375"/>
      <c r="J309" s="375"/>
      <c r="K309" s="375"/>
      <c r="L309" s="375">
        <f>Table146[[#This Row],[Green target threshold]]+Table146[[#This Row],[Green target threshold]]*0.5</f>
        <v>0</v>
      </c>
      <c r="M309" s="375"/>
      <c r="N309" s="375"/>
      <c r="O309" s="375"/>
      <c r="P309" s="375"/>
      <c r="Q309" s="375"/>
      <c r="R309" s="375">
        <f>Table146[[#This Row],[Red target threshold]]-Table146[[#This Row],[Red target threshold]]*0.5</f>
        <v>0</v>
      </c>
      <c r="S309" s="375"/>
      <c r="T309" s="396"/>
    </row>
    <row r="310" spans="1:21" x14ac:dyDescent="0.25">
      <c r="A310" s="390"/>
      <c r="B310" s="369"/>
      <c r="C310" s="369"/>
      <c r="D310" s="369" t="s">
        <v>676</v>
      </c>
      <c r="E310" s="382">
        <v>0.36213113227433397</v>
      </c>
      <c r="F310" s="383">
        <v>0.37586948967352202</v>
      </c>
      <c r="G310" s="384">
        <v>0.41398030496208899</v>
      </c>
      <c r="H310" s="421"/>
      <c r="I310" s="375"/>
      <c r="J310" s="375"/>
      <c r="K310" s="375"/>
      <c r="L310" s="375">
        <f>Table146[[#This Row],[Green target threshold]]+Table146[[#This Row],[Green target threshold]]*0.5</f>
        <v>0</v>
      </c>
      <c r="M310" s="375"/>
      <c r="N310" s="375"/>
      <c r="O310" s="375"/>
      <c r="P310" s="375"/>
      <c r="Q310" s="375"/>
      <c r="R310" s="375">
        <f>Table146[[#This Row],[Red target threshold]]-Table146[[#This Row],[Red target threshold]]*0.5</f>
        <v>0</v>
      </c>
      <c r="S310" s="375"/>
      <c r="T310" s="396"/>
    </row>
    <row r="311" spans="1:21" x14ac:dyDescent="0.25">
      <c r="A311" s="390"/>
      <c r="B311" s="369"/>
      <c r="C311" s="369"/>
      <c r="D311" s="369" t="s">
        <v>704</v>
      </c>
      <c r="E311" s="382">
        <v>0.54722811015036299</v>
      </c>
      <c r="F311" s="383">
        <v>0.55630213850850807</v>
      </c>
      <c r="G311" s="384">
        <v>0.52089660271913496</v>
      </c>
      <c r="H311" s="421"/>
      <c r="I311" s="375"/>
      <c r="J311" s="375"/>
      <c r="K311" s="375"/>
      <c r="L311" s="375">
        <f>Table146[[#This Row],[Green target threshold]]+Table146[[#This Row],[Green target threshold]]*0.5</f>
        <v>0</v>
      </c>
      <c r="M311" s="375"/>
      <c r="N311" s="375"/>
      <c r="O311" s="375"/>
      <c r="P311" s="375"/>
      <c r="Q311" s="375"/>
      <c r="R311" s="375">
        <f>Table146[[#This Row],[Red target threshold]]-Table146[[#This Row],[Red target threshold]]*0.5</f>
        <v>0</v>
      </c>
      <c r="S311" s="375"/>
      <c r="T311" s="396"/>
    </row>
    <row r="312" spans="1:21" x14ac:dyDescent="0.25">
      <c r="A312" s="390"/>
      <c r="B312" s="369"/>
      <c r="C312" s="369"/>
      <c r="D312" s="369" t="s">
        <v>705</v>
      </c>
      <c r="E312" s="382">
        <v>0.50141571285783193</v>
      </c>
      <c r="F312" s="383">
        <v>0.49938070781976002</v>
      </c>
      <c r="G312" s="384">
        <v>0.53399118425893599</v>
      </c>
      <c r="H312" s="421"/>
      <c r="I312" s="375"/>
      <c r="J312" s="375"/>
      <c r="K312" s="375"/>
      <c r="L312" s="375">
        <f>Table146[[#This Row],[Green target threshold]]+Table146[[#This Row],[Green target threshold]]*0.5</f>
        <v>0</v>
      </c>
      <c r="M312" s="375"/>
      <c r="N312" s="375"/>
      <c r="O312" s="375"/>
      <c r="P312" s="375"/>
      <c r="Q312" s="375"/>
      <c r="R312" s="375">
        <f>Table146[[#This Row],[Red target threshold]]-Table146[[#This Row],[Red target threshold]]*0.5</f>
        <v>0</v>
      </c>
      <c r="S312" s="375"/>
      <c r="T312" s="396"/>
    </row>
    <row r="313" spans="1:21" x14ac:dyDescent="0.25">
      <c r="A313" s="390"/>
      <c r="B313" s="369"/>
      <c r="C313" s="369"/>
      <c r="D313" s="369" t="s">
        <v>706</v>
      </c>
      <c r="E313" s="382">
        <v>0.47131884040957195</v>
      </c>
      <c r="F313" s="383">
        <v>0.46707423746489002</v>
      </c>
      <c r="G313" s="384">
        <v>0.56177718239042496</v>
      </c>
      <c r="H313" s="421"/>
      <c r="I313" s="375"/>
      <c r="J313" s="375"/>
      <c r="K313" s="375"/>
      <c r="L313" s="375">
        <f>Table146[[#This Row],[Green target threshold]]+Table146[[#This Row],[Green target threshold]]*0.5</f>
        <v>0</v>
      </c>
      <c r="M313" s="375"/>
      <c r="N313" s="375"/>
      <c r="O313" s="375"/>
      <c r="P313" s="375"/>
      <c r="Q313" s="375"/>
      <c r="R313" s="375">
        <f>Table146[[#This Row],[Red target threshold]]-Table146[[#This Row],[Red target threshold]]*0.5</f>
        <v>0</v>
      </c>
      <c r="S313" s="375"/>
      <c r="T313" s="396"/>
    </row>
    <row r="314" spans="1:21" s="386" customFormat="1" x14ac:dyDescent="0.25">
      <c r="A314" s="409"/>
      <c r="B314" s="406"/>
      <c r="C314" s="407"/>
      <c r="D314" s="406"/>
      <c r="E314" s="407">
        <v>2012</v>
      </c>
      <c r="F314" s="407">
        <v>2013</v>
      </c>
      <c r="G314" s="407">
        <v>2014</v>
      </c>
      <c r="H314" s="407"/>
      <c r="I314" s="407"/>
      <c r="J314" s="407"/>
      <c r="K314" s="407"/>
      <c r="L314" s="407">
        <f>Table146[[#This Row],[Green target threshold]]+Table146[[#This Row],[Green target threshold]]*0.5</f>
        <v>0</v>
      </c>
      <c r="M314" s="407"/>
      <c r="N314" s="407"/>
      <c r="O314" s="407"/>
      <c r="P314" s="407"/>
      <c r="Q314" s="407"/>
      <c r="R314" s="407">
        <f>Table146[[#This Row],[Red target threshold]]-Table146[[#This Row],[Red target threshold]]*0.5</f>
        <v>0</v>
      </c>
      <c r="S314" s="407"/>
      <c r="T314" s="413"/>
    </row>
    <row r="315" spans="1:21" x14ac:dyDescent="0.25">
      <c r="A315" s="418" t="s">
        <v>760</v>
      </c>
      <c r="B315" s="437" t="s">
        <v>758</v>
      </c>
      <c r="C315" s="437" t="s">
        <v>759</v>
      </c>
      <c r="D315" s="436" t="s">
        <v>904</v>
      </c>
      <c r="E315" s="420">
        <v>0.507411642337258</v>
      </c>
      <c r="F315" s="420">
        <v>0.49935966335005399</v>
      </c>
      <c r="G315" s="420">
        <v>0.48960813019935201</v>
      </c>
      <c r="H315" s="421">
        <v>2014</v>
      </c>
      <c r="I315" s="421">
        <v>0.48960813019935201</v>
      </c>
      <c r="J315" s="421">
        <v>2015</v>
      </c>
      <c r="K315" s="411">
        <v>0.53940900000000003</v>
      </c>
      <c r="L315" s="411">
        <f>Table146[[#This Row],[Green target threshold]]-Table146[[#This Row],[Green target threshold]]*0.5</f>
        <v>0.17136284556977321</v>
      </c>
      <c r="M315" s="421">
        <f>Table146[[#This Row],[Data reference value]]+Table146[[#This Row],[Data reference value]]*Table146[[#This Row],[Improvement rate]]</f>
        <v>0.34272569113954643</v>
      </c>
      <c r="N315" s="421">
        <v>-0.3</v>
      </c>
      <c r="O315" s="421" t="s">
        <v>1140</v>
      </c>
      <c r="P315" s="421">
        <f>(Table146[[#This Row],[Green target threshold]]-Table146[[#This Row],[Model reference value]])*0.5+Table146[[#This Row],[Model reference value]]</f>
        <v>0.44106734556977323</v>
      </c>
      <c r="Q315" s="421">
        <f>Table146[[#This Row],[Model reference value]]</f>
        <v>0.53940900000000003</v>
      </c>
      <c r="R315" s="421">
        <f>Table146[[#This Row],[Red target threshold]]+Table146[[#This Row],[Red target threshold]]*0.5</f>
        <v>0.80911350000000004</v>
      </c>
      <c r="S315" s="421" t="s">
        <v>1040</v>
      </c>
      <c r="T315" s="419" t="s">
        <v>762</v>
      </c>
      <c r="U315" s="371" t="s">
        <v>1094</v>
      </c>
    </row>
    <row r="316" spans="1:21" x14ac:dyDescent="0.25">
      <c r="A316" s="390"/>
      <c r="B316" s="369"/>
      <c r="C316" s="369"/>
      <c r="D316" s="369"/>
      <c r="E316" s="379"/>
      <c r="F316" s="380"/>
      <c r="G316" s="381"/>
      <c r="H316" s="421"/>
      <c r="I316" s="375"/>
      <c r="J316" s="375"/>
      <c r="K316" s="375"/>
      <c r="L316" s="375">
        <f>Table146[[#This Row],[Green target threshold]]+Table146[[#This Row],[Green target threshold]]*0.5</f>
        <v>0</v>
      </c>
      <c r="M316" s="375"/>
      <c r="N316" s="375"/>
      <c r="O316" s="375"/>
      <c r="P316" s="375"/>
      <c r="Q316" s="375"/>
      <c r="R316" s="375">
        <f>Table146[[#This Row],[Red target threshold]]-Table146[[#This Row],[Red target threshold]]*0.5</f>
        <v>0</v>
      </c>
      <c r="S316" s="375"/>
      <c r="T316" s="396"/>
    </row>
    <row r="317" spans="1:21" x14ac:dyDescent="0.25">
      <c r="A317" s="390"/>
      <c r="B317" s="369"/>
      <c r="C317" s="369"/>
      <c r="D317" s="369"/>
      <c r="E317" s="379"/>
      <c r="F317" s="380"/>
      <c r="G317" s="381"/>
      <c r="H317" s="421"/>
      <c r="I317" s="375"/>
      <c r="J317" s="375"/>
      <c r="K317" s="375"/>
      <c r="L317" s="375">
        <f>Table146[[#This Row],[Green target threshold]]+Table146[[#This Row],[Green target threshold]]*0.5</f>
        <v>0</v>
      </c>
      <c r="M317" s="375"/>
      <c r="N317" s="375"/>
      <c r="O317" s="375"/>
      <c r="P317" s="375"/>
      <c r="Q317" s="375"/>
      <c r="R317" s="375">
        <f>Table146[[#This Row],[Red target threshold]]-Table146[[#This Row],[Red target threshold]]*0.5</f>
        <v>0</v>
      </c>
      <c r="S317" s="375"/>
      <c r="T317" s="396"/>
    </row>
    <row r="318" spans="1:21" x14ac:dyDescent="0.25">
      <c r="A318" s="390"/>
      <c r="B318" s="369"/>
      <c r="C318" s="369"/>
      <c r="D318" s="369"/>
      <c r="E318" s="379"/>
      <c r="F318" s="380"/>
      <c r="G318" s="381"/>
      <c r="H318" s="421"/>
      <c r="I318" s="375"/>
      <c r="J318" s="375"/>
      <c r="K318" s="375"/>
      <c r="L318" s="375">
        <f>Table146[[#This Row],[Green target threshold]]+Table146[[#This Row],[Green target threshold]]*0.5</f>
        <v>0</v>
      </c>
      <c r="M318" s="375"/>
      <c r="N318" s="375"/>
      <c r="O318" s="375"/>
      <c r="P318" s="375"/>
      <c r="Q318" s="375"/>
      <c r="R318" s="375">
        <f>Table146[[#This Row],[Red target threshold]]-Table146[[#This Row],[Red target threshold]]*0.5</f>
        <v>0</v>
      </c>
      <c r="S318" s="375"/>
      <c r="T318" s="396"/>
    </row>
    <row r="319" spans="1:21" x14ac:dyDescent="0.25">
      <c r="A319" s="390"/>
      <c r="B319" s="369"/>
      <c r="C319" s="369"/>
      <c r="D319" s="369"/>
      <c r="E319" s="379"/>
      <c r="F319" s="380"/>
      <c r="G319" s="381"/>
      <c r="H319" s="421"/>
      <c r="I319" s="375"/>
      <c r="J319" s="375"/>
      <c r="K319" s="375"/>
      <c r="L319" s="375">
        <f>Table146[[#This Row],[Green target threshold]]+Table146[[#This Row],[Green target threshold]]*0.5</f>
        <v>0</v>
      </c>
      <c r="M319" s="375"/>
      <c r="N319" s="375"/>
      <c r="O319" s="375"/>
      <c r="P319" s="375"/>
      <c r="Q319" s="375"/>
      <c r="R319" s="375">
        <f>Table146[[#This Row],[Red target threshold]]-Table146[[#This Row],[Red target threshold]]*0.5</f>
        <v>0</v>
      </c>
      <c r="S319" s="375"/>
      <c r="T319" s="396"/>
    </row>
    <row r="320" spans="1:21" x14ac:dyDescent="0.25">
      <c r="A320" s="390"/>
      <c r="B320" s="369"/>
      <c r="C320" s="369"/>
      <c r="D320" s="369"/>
      <c r="E320" s="379"/>
      <c r="F320" s="380"/>
      <c r="G320" s="381"/>
      <c r="H320" s="421"/>
      <c r="I320" s="375"/>
      <c r="J320" s="375"/>
      <c r="K320" s="375"/>
      <c r="L320" s="375">
        <f>Table146[[#This Row],[Green target threshold]]+Table146[[#This Row],[Green target threshold]]*0.5</f>
        <v>0</v>
      </c>
      <c r="M320" s="375"/>
      <c r="N320" s="375"/>
      <c r="O320" s="375"/>
      <c r="P320" s="375"/>
      <c r="Q320" s="375"/>
      <c r="R320" s="375">
        <f>Table146[[#This Row],[Red target threshold]]-Table146[[#This Row],[Red target threshold]]*0.5</f>
        <v>0</v>
      </c>
      <c r="S320" s="375"/>
      <c r="T320" s="396"/>
    </row>
    <row r="321" spans="1:20" x14ac:dyDescent="0.25">
      <c r="A321" s="390"/>
      <c r="B321" s="369"/>
      <c r="C321" s="369"/>
      <c r="D321" s="369"/>
      <c r="E321" s="382"/>
      <c r="F321" s="383"/>
      <c r="G321" s="384"/>
      <c r="H321" s="421"/>
      <c r="I321" s="375"/>
      <c r="J321" s="375"/>
      <c r="K321" s="375"/>
      <c r="L321" s="375">
        <f>Table146[[#This Row],[Green target threshold]]+Table146[[#This Row],[Green target threshold]]*0.5</f>
        <v>0</v>
      </c>
      <c r="M321" s="375"/>
      <c r="N321" s="375"/>
      <c r="O321" s="375"/>
      <c r="P321" s="375"/>
      <c r="Q321" s="375"/>
      <c r="R321" s="375">
        <f>Table146[[#This Row],[Red target threshold]]-Table146[[#This Row],[Red target threshold]]*0.5</f>
        <v>0</v>
      </c>
      <c r="S321" s="375"/>
      <c r="T321" s="396"/>
    </row>
    <row r="322" spans="1:20" x14ac:dyDescent="0.25">
      <c r="A322" s="390"/>
      <c r="B322" s="369"/>
      <c r="C322" s="369"/>
      <c r="D322" s="369"/>
      <c r="E322" s="382"/>
      <c r="F322" s="383"/>
      <c r="G322" s="384"/>
      <c r="H322" s="421"/>
      <c r="I322" s="375"/>
      <c r="J322" s="375"/>
      <c r="K322" s="375"/>
      <c r="L322" s="375">
        <f>Table146[[#This Row],[Green target threshold]]+Table146[[#This Row],[Green target threshold]]*0.5</f>
        <v>0</v>
      </c>
      <c r="M322" s="375"/>
      <c r="N322" s="375"/>
      <c r="O322" s="375"/>
      <c r="P322" s="375"/>
      <c r="Q322" s="375"/>
      <c r="R322" s="375">
        <f>Table146[[#This Row],[Red target threshold]]-Table146[[#This Row],[Red target threshold]]*0.5</f>
        <v>0</v>
      </c>
      <c r="S322" s="375"/>
      <c r="T322" s="396"/>
    </row>
    <row r="323" spans="1:20" x14ac:dyDescent="0.25">
      <c r="A323" s="390"/>
      <c r="B323" s="369"/>
      <c r="C323" s="369"/>
      <c r="D323" s="369"/>
      <c r="E323" s="382"/>
      <c r="F323" s="383"/>
      <c r="G323" s="384"/>
      <c r="H323" s="421"/>
      <c r="I323" s="375"/>
      <c r="J323" s="375"/>
      <c r="K323" s="375"/>
      <c r="L323" s="375">
        <f>Table146[[#This Row],[Green target threshold]]+Table146[[#This Row],[Green target threshold]]*0.5</f>
        <v>0</v>
      </c>
      <c r="M323" s="375"/>
      <c r="N323" s="375"/>
      <c r="O323" s="375"/>
      <c r="P323" s="375"/>
      <c r="Q323" s="375"/>
      <c r="R323" s="375">
        <f>Table146[[#This Row],[Red target threshold]]-Table146[[#This Row],[Red target threshold]]*0.5</f>
        <v>0</v>
      </c>
      <c r="S323" s="375"/>
      <c r="T323" s="396"/>
    </row>
    <row r="324" spans="1:20" x14ac:dyDescent="0.25">
      <c r="A324" s="390"/>
      <c r="B324" s="369"/>
      <c r="C324" s="369"/>
      <c r="D324" s="369"/>
      <c r="E324" s="382"/>
      <c r="F324" s="383"/>
      <c r="G324" s="384"/>
      <c r="H324" s="421"/>
      <c r="I324" s="375"/>
      <c r="J324" s="375"/>
      <c r="K324" s="375"/>
      <c r="L324" s="375">
        <f>Table146[[#This Row],[Green target threshold]]+Table146[[#This Row],[Green target threshold]]*0.5</f>
        <v>0</v>
      </c>
      <c r="M324" s="375"/>
      <c r="N324" s="375"/>
      <c r="O324" s="375"/>
      <c r="P324" s="375"/>
      <c r="Q324" s="375"/>
      <c r="R324" s="375">
        <f>Table146[[#This Row],[Red target threshold]]-Table146[[#This Row],[Red target threshold]]*0.5</f>
        <v>0</v>
      </c>
      <c r="S324" s="375"/>
      <c r="T324" s="396"/>
    </row>
    <row r="325" spans="1:20" x14ac:dyDescent="0.25">
      <c r="A325" s="390"/>
      <c r="B325" s="369"/>
      <c r="C325" s="369"/>
      <c r="D325" s="369"/>
      <c r="E325" s="382"/>
      <c r="F325" s="383"/>
      <c r="G325" s="384"/>
      <c r="H325" s="421"/>
      <c r="I325" s="375"/>
      <c r="J325" s="375"/>
      <c r="K325" s="375"/>
      <c r="L325" s="375">
        <f>Table146[[#This Row],[Green target threshold]]+Table146[[#This Row],[Green target threshold]]*0.5</f>
        <v>0</v>
      </c>
      <c r="M325" s="375"/>
      <c r="N325" s="375"/>
      <c r="O325" s="375"/>
      <c r="P325" s="375"/>
      <c r="Q325" s="375"/>
      <c r="R325" s="375">
        <f>Table146[[#This Row],[Red target threshold]]-Table146[[#This Row],[Red target threshold]]*0.5</f>
        <v>0</v>
      </c>
      <c r="S325" s="375"/>
      <c r="T325" s="396"/>
    </row>
    <row r="326" spans="1:20" s="386" customFormat="1" x14ac:dyDescent="0.25">
      <c r="A326" s="409"/>
      <c r="B326" s="406"/>
      <c r="C326" s="406"/>
      <c r="D326" s="406"/>
      <c r="E326" s="408">
        <v>2015</v>
      </c>
      <c r="F326" s="408">
        <v>2016</v>
      </c>
      <c r="G326" s="408">
        <v>2017</v>
      </c>
      <c r="H326" s="408"/>
      <c r="I326" s="408"/>
      <c r="J326" s="408"/>
      <c r="K326" s="408"/>
      <c r="L326" s="408">
        <f>Table146[[#This Row],[Green target threshold]]+Table146[[#This Row],[Green target threshold]]*0.5</f>
        <v>0</v>
      </c>
      <c r="M326" s="407"/>
      <c r="N326" s="407"/>
      <c r="O326" s="407"/>
      <c r="P326" s="407"/>
      <c r="Q326" s="407"/>
      <c r="R326" s="407">
        <f>Table146[[#This Row],[Red target threshold]]-Table146[[#This Row],[Red target threshold]]*0.5</f>
        <v>0</v>
      </c>
      <c r="S326" s="407"/>
      <c r="T326" s="413"/>
    </row>
    <row r="327" spans="1:20" x14ac:dyDescent="0.25">
      <c r="A327" s="418" t="s">
        <v>596</v>
      </c>
      <c r="B327" s="437" t="s">
        <v>821</v>
      </c>
      <c r="C327" s="437" t="s">
        <v>667</v>
      </c>
      <c r="D327" s="436" t="s">
        <v>799</v>
      </c>
      <c r="E327" s="420">
        <v>66.270574999999994</v>
      </c>
      <c r="F327" s="420">
        <v>58.728148148148144</v>
      </c>
      <c r="G327" s="420">
        <v>60.290185185185187</v>
      </c>
      <c r="H327" s="421">
        <v>2015</v>
      </c>
      <c r="I327" s="421">
        <v>66.270574999999994</v>
      </c>
      <c r="J327" s="421">
        <v>2015</v>
      </c>
      <c r="K327" s="411">
        <v>24.5441</v>
      </c>
      <c r="L327" s="411">
        <f>Table146[[#This Row],[Green target threshold]]-Table146[[#This Row],[Green target threshold]]*0.5</f>
        <v>6.6270574999999994</v>
      </c>
      <c r="M327" s="427">
        <f>Table146[[#This Row],[Data reference value]]+Table146[[#This Row],[Data reference value]]*Table146[[#This Row],[Improvement rate]]</f>
        <v>13.254114999999999</v>
      </c>
      <c r="N327" s="427">
        <v>-0.8</v>
      </c>
      <c r="O327" s="421" t="s">
        <v>1140</v>
      </c>
      <c r="P327" s="421">
        <f>(Table146[[#This Row],[Green target threshold]]-Table146[[#This Row],[Model reference value]])*0.5+Table146[[#This Row],[Model reference value]]</f>
        <v>18.8991075</v>
      </c>
      <c r="Q327" s="421">
        <f>Table146[[#This Row],[Model reference value]]</f>
        <v>24.5441</v>
      </c>
      <c r="R327" s="421">
        <f>Table146[[#This Row],[Red target threshold]]+Table146[[#This Row],[Red target threshold]]*0.5</f>
        <v>36.81615</v>
      </c>
      <c r="S327" s="421" t="s">
        <v>1141</v>
      </c>
      <c r="T327" s="419" t="s">
        <v>822</v>
      </c>
    </row>
    <row r="328" spans="1:20" x14ac:dyDescent="0.25">
      <c r="A328" s="390"/>
      <c r="B328" s="369"/>
      <c r="C328" s="369"/>
      <c r="D328" s="378" t="s">
        <v>771</v>
      </c>
      <c r="E328" s="379">
        <v>192.881</v>
      </c>
      <c r="F328" s="380">
        <v>206.16399999999999</v>
      </c>
      <c r="G328" s="381">
        <v>212.167</v>
      </c>
      <c r="H328" s="421"/>
      <c r="I328" s="375"/>
      <c r="J328" s="375"/>
      <c r="K328" s="375"/>
      <c r="L328" s="375">
        <f>Table146[[#This Row],[Green target threshold]]+Table146[[#This Row],[Green target threshold]]*0.5</f>
        <v>0</v>
      </c>
      <c r="M328" s="375"/>
      <c r="N328" s="375"/>
      <c r="O328" s="375"/>
      <c r="P328" s="375"/>
      <c r="Q328" s="375"/>
      <c r="R328" s="375">
        <f>Table146[[#This Row],[Red target threshold]]-Table146[[#This Row],[Red target threshold]]*0.5</f>
        <v>0</v>
      </c>
      <c r="S328" s="375"/>
      <c r="T328" s="396"/>
    </row>
    <row r="329" spans="1:20" x14ac:dyDescent="0.25">
      <c r="A329" s="390"/>
      <c r="B329" s="369"/>
      <c r="C329" s="369"/>
      <c r="D329" s="378" t="s">
        <v>680</v>
      </c>
      <c r="E329" s="379">
        <v>189</v>
      </c>
      <c r="F329" s="380">
        <v>194</v>
      </c>
      <c r="G329" s="381">
        <v>187</v>
      </c>
      <c r="H329" s="421"/>
      <c r="I329" s="375"/>
      <c r="J329" s="375"/>
      <c r="K329" s="375"/>
      <c r="L329" s="375">
        <f>Table146[[#This Row],[Green target threshold]]+Table146[[#This Row],[Green target threshold]]*0.5</f>
        <v>0</v>
      </c>
      <c r="M329" s="375"/>
      <c r="N329" s="375"/>
      <c r="O329" s="375"/>
      <c r="P329" s="375"/>
      <c r="Q329" s="375"/>
      <c r="R329" s="375">
        <f>Table146[[#This Row],[Red target threshold]]-Table146[[#This Row],[Red target threshold]]*0.5</f>
        <v>0</v>
      </c>
      <c r="S329" s="375"/>
      <c r="T329" s="396"/>
    </row>
    <row r="330" spans="1:20" x14ac:dyDescent="0.25">
      <c r="A330" s="390"/>
      <c r="B330" s="369"/>
      <c r="C330" s="369"/>
      <c r="D330" s="378" t="s">
        <v>715</v>
      </c>
      <c r="E330" s="379">
        <v>172.27</v>
      </c>
      <c r="F330" s="380">
        <v>179.29</v>
      </c>
      <c r="G330" s="381">
        <v>179.31800000000001</v>
      </c>
      <c r="H330" s="421"/>
      <c r="I330" s="375"/>
      <c r="J330" s="375"/>
      <c r="K330" s="375"/>
      <c r="L330" s="375">
        <f>Table146[[#This Row],[Green target threshold]]+Table146[[#This Row],[Green target threshold]]*0.5</f>
        <v>0</v>
      </c>
      <c r="M330" s="375"/>
      <c r="N330" s="375"/>
      <c r="O330" s="375"/>
      <c r="P330" s="375"/>
      <c r="Q330" s="375"/>
      <c r="R330" s="375">
        <f>Table146[[#This Row],[Red target threshold]]-Table146[[#This Row],[Red target threshold]]*0.5</f>
        <v>0</v>
      </c>
      <c r="S330" s="375"/>
      <c r="T330" s="396"/>
    </row>
    <row r="331" spans="1:20" x14ac:dyDescent="0.25">
      <c r="A331" s="390"/>
      <c r="B331" s="369"/>
      <c r="C331" s="369"/>
      <c r="D331" s="378" t="s">
        <v>824</v>
      </c>
      <c r="E331" s="379">
        <v>98</v>
      </c>
      <c r="F331" s="380">
        <v>91</v>
      </c>
      <c r="G331" s="381">
        <v>101</v>
      </c>
      <c r="H331" s="421"/>
      <c r="I331" s="375"/>
      <c r="J331" s="375"/>
      <c r="K331" s="375"/>
      <c r="L331" s="375">
        <f>Table146[[#This Row],[Green target threshold]]+Table146[[#This Row],[Green target threshold]]*0.5</f>
        <v>0</v>
      </c>
      <c r="M331" s="375"/>
      <c r="N331" s="375"/>
      <c r="O331" s="375"/>
      <c r="P331" s="375"/>
      <c r="Q331" s="375"/>
      <c r="R331" s="375">
        <f>Table146[[#This Row],[Red target threshold]]-Table146[[#This Row],[Red target threshold]]*0.5</f>
        <v>0</v>
      </c>
      <c r="S331" s="375"/>
      <c r="T331" s="396"/>
    </row>
    <row r="332" spans="1:20" x14ac:dyDescent="0.25">
      <c r="A332" s="390"/>
      <c r="B332" s="369"/>
      <c r="C332" s="369"/>
      <c r="D332" s="378" t="s">
        <v>825</v>
      </c>
      <c r="E332" s="379">
        <v>83</v>
      </c>
      <c r="F332" s="380">
        <v>87</v>
      </c>
      <c r="G332" s="381">
        <v>86</v>
      </c>
      <c r="H332" s="421"/>
      <c r="I332" s="375"/>
      <c r="J332" s="375"/>
      <c r="K332" s="375"/>
      <c r="L332" s="375">
        <f>Table146[[#This Row],[Green target threshold]]+Table146[[#This Row],[Green target threshold]]*0.5</f>
        <v>0</v>
      </c>
      <c r="M332" s="375"/>
      <c r="N332" s="375"/>
      <c r="O332" s="375"/>
      <c r="P332" s="375"/>
      <c r="Q332" s="375"/>
      <c r="R332" s="375">
        <f>Table146[[#This Row],[Red target threshold]]-Table146[[#This Row],[Red target threshold]]*0.5</f>
        <v>0</v>
      </c>
      <c r="S332" s="375"/>
      <c r="T332" s="396"/>
    </row>
    <row r="333" spans="1:20" x14ac:dyDescent="0.25">
      <c r="A333" s="390"/>
      <c r="B333" s="369"/>
      <c r="C333" s="369"/>
      <c r="D333" s="378" t="s">
        <v>826</v>
      </c>
      <c r="E333" s="382">
        <v>28</v>
      </c>
      <c r="F333" s="383">
        <v>25</v>
      </c>
      <c r="G333" s="384">
        <v>22</v>
      </c>
      <c r="H333" s="421"/>
      <c r="I333" s="375"/>
      <c r="J333" s="375"/>
      <c r="K333" s="375"/>
      <c r="L333" s="375">
        <f>Table146[[#This Row],[Green target threshold]]+Table146[[#This Row],[Green target threshold]]*0.5</f>
        <v>0</v>
      </c>
      <c r="M333" s="375"/>
      <c r="N333" s="375"/>
      <c r="O333" s="375"/>
      <c r="P333" s="375"/>
      <c r="Q333" s="375"/>
      <c r="R333" s="375">
        <f>Table146[[#This Row],[Red target threshold]]-Table146[[#This Row],[Red target threshold]]*0.5</f>
        <v>0</v>
      </c>
      <c r="S333" s="375"/>
      <c r="T333" s="396"/>
    </row>
    <row r="334" spans="1:20" x14ac:dyDescent="0.25">
      <c r="A334" s="390"/>
      <c r="B334" s="369"/>
      <c r="C334" s="369"/>
      <c r="D334" s="378" t="s">
        <v>813</v>
      </c>
      <c r="E334" s="382">
        <v>19.811</v>
      </c>
      <c r="F334" s="383">
        <v>18.646999999999998</v>
      </c>
      <c r="G334" s="384">
        <v>19.826000000000001</v>
      </c>
      <c r="H334" s="421"/>
      <c r="I334" s="375"/>
      <c r="J334" s="375"/>
      <c r="K334" s="375"/>
      <c r="L334" s="375">
        <f>Table146[[#This Row],[Green target threshold]]+Table146[[#This Row],[Green target threshold]]*0.5</f>
        <v>0</v>
      </c>
      <c r="M334" s="375"/>
      <c r="N334" s="375"/>
      <c r="O334" s="375"/>
      <c r="P334" s="375"/>
      <c r="Q334" s="375"/>
      <c r="R334" s="375">
        <f>Table146[[#This Row],[Red target threshold]]-Table146[[#This Row],[Red target threshold]]*0.5</f>
        <v>0</v>
      </c>
      <c r="S334" s="375"/>
      <c r="T334" s="396"/>
    </row>
    <row r="335" spans="1:20" x14ac:dyDescent="0.25">
      <c r="A335" s="390"/>
      <c r="B335" s="369"/>
      <c r="C335" s="369"/>
      <c r="D335" s="378" t="s">
        <v>772</v>
      </c>
      <c r="E335" s="382">
        <v>26.582000000000001</v>
      </c>
      <c r="F335" s="383">
        <v>21.818000000000001</v>
      </c>
      <c r="G335" s="384">
        <v>19.791</v>
      </c>
      <c r="H335" s="421"/>
      <c r="I335" s="375"/>
      <c r="J335" s="375"/>
      <c r="K335" s="375"/>
      <c r="L335" s="375">
        <f>Table146[[#This Row],[Green target threshold]]+Table146[[#This Row],[Green target threshold]]*0.5</f>
        <v>0</v>
      </c>
      <c r="M335" s="375"/>
      <c r="N335" s="375"/>
      <c r="O335" s="375"/>
      <c r="P335" s="375"/>
      <c r="Q335" s="375"/>
      <c r="R335" s="375">
        <f>Table146[[#This Row],[Red target threshold]]-Table146[[#This Row],[Red target threshold]]*0.5</f>
        <v>0</v>
      </c>
      <c r="S335" s="375"/>
      <c r="T335" s="396"/>
    </row>
    <row r="336" spans="1:20" x14ac:dyDescent="0.25">
      <c r="A336" s="390"/>
      <c r="B336" s="369"/>
      <c r="C336" s="369"/>
      <c r="D336" s="378" t="s">
        <v>689</v>
      </c>
      <c r="E336" s="382">
        <v>8.423</v>
      </c>
      <c r="F336" s="383">
        <v>7.2110000000000003</v>
      </c>
      <c r="G336" s="384">
        <v>7.6669999999999998</v>
      </c>
      <c r="H336" s="421"/>
      <c r="I336" s="375"/>
      <c r="J336" s="375"/>
      <c r="K336" s="375"/>
      <c r="L336" s="375">
        <f>Table146[[#This Row],[Green target threshold]]+Table146[[#This Row],[Green target threshold]]*0.5</f>
        <v>0</v>
      </c>
      <c r="M336" s="375"/>
      <c r="N336" s="375"/>
      <c r="O336" s="375"/>
      <c r="P336" s="375"/>
      <c r="Q336" s="375"/>
      <c r="R336" s="375">
        <f>Table146[[#This Row],[Red target threshold]]-Table146[[#This Row],[Red target threshold]]*0.5</f>
        <v>0</v>
      </c>
      <c r="S336" s="375"/>
      <c r="T336" s="396"/>
    </row>
    <row r="337" spans="1:21" x14ac:dyDescent="0.25">
      <c r="A337" s="390"/>
      <c r="B337" s="369"/>
      <c r="C337" s="369"/>
      <c r="D337" s="378" t="s">
        <v>827</v>
      </c>
      <c r="E337" s="382">
        <v>9</v>
      </c>
      <c r="F337" s="383">
        <v>-1</v>
      </c>
      <c r="G337" s="384">
        <v>-12</v>
      </c>
      <c r="H337" s="421"/>
      <c r="I337" s="375"/>
      <c r="J337" s="375"/>
      <c r="K337" s="375"/>
      <c r="L337" s="375">
        <f>Table146[[#This Row],[Green target threshold]]+Table146[[#This Row],[Green target threshold]]*0.5</f>
        <v>0</v>
      </c>
      <c r="M337" s="375"/>
      <c r="N337" s="375"/>
      <c r="O337" s="375"/>
      <c r="P337" s="375"/>
      <c r="Q337" s="375"/>
      <c r="R337" s="375">
        <f>Table146[[#This Row],[Red target threshold]]-Table146[[#This Row],[Red target threshold]]*0.5</f>
        <v>0</v>
      </c>
      <c r="S337" s="375"/>
      <c r="T337" s="396"/>
    </row>
    <row r="338" spans="1:21" s="386" customFormat="1" x14ac:dyDescent="0.25">
      <c r="A338" s="409"/>
      <c r="B338" s="406"/>
      <c r="C338" s="406"/>
      <c r="D338" s="406"/>
      <c r="E338" s="407"/>
      <c r="F338" s="407"/>
      <c r="G338" s="407">
        <v>2016</v>
      </c>
      <c r="H338" s="407"/>
      <c r="I338" s="407"/>
      <c r="J338" s="407"/>
      <c r="K338" s="407"/>
      <c r="L338" s="407">
        <f>Table146[[#This Row],[Green target threshold]]+Table146[[#This Row],[Green target threshold]]*0.5</f>
        <v>0</v>
      </c>
      <c r="M338" s="407"/>
      <c r="N338" s="407"/>
      <c r="O338" s="407"/>
      <c r="P338" s="407"/>
      <c r="Q338" s="407"/>
      <c r="R338" s="407">
        <f>Table146[[#This Row],[Red target threshold]]-Table146[[#This Row],[Red target threshold]]*0.5</f>
        <v>0</v>
      </c>
      <c r="S338" s="407"/>
      <c r="T338" s="413"/>
    </row>
    <row r="339" spans="1:21" x14ac:dyDescent="0.25">
      <c r="A339" s="418" t="s">
        <v>597</v>
      </c>
      <c r="B339" s="437" t="s">
        <v>820</v>
      </c>
      <c r="C339" s="437" t="s">
        <v>818</v>
      </c>
      <c r="D339" s="436" t="s">
        <v>1090</v>
      </c>
      <c r="E339" s="420"/>
      <c r="F339" s="420"/>
      <c r="G339" s="420">
        <v>9.0589999999999993</v>
      </c>
      <c r="H339" s="421">
        <v>2016</v>
      </c>
      <c r="I339" s="421">
        <v>9.0589999999999993</v>
      </c>
      <c r="J339" s="421">
        <v>2015</v>
      </c>
      <c r="K339" s="411">
        <v>9.0136800000000008</v>
      </c>
      <c r="L339" s="411">
        <f>Table146[[#This Row],[Green target threshold]]-Table146[[#This Row],[Green target threshold]]*0.5</f>
        <v>4</v>
      </c>
      <c r="M339" s="421">
        <v>8</v>
      </c>
      <c r="N339" s="421"/>
      <c r="O339" s="421" t="s">
        <v>985</v>
      </c>
      <c r="P339" s="421">
        <f>(M339-K339)*0.5+K339</f>
        <v>8.5068400000000004</v>
      </c>
      <c r="Q339" s="421">
        <f>K339</f>
        <v>9.0136800000000008</v>
      </c>
      <c r="R339" s="421">
        <f>Table146[[#This Row],[Red target threshold]]+Table146[[#This Row],[Red target threshold]]*0.5</f>
        <v>13.520520000000001</v>
      </c>
      <c r="S339" s="421" t="s">
        <v>1035</v>
      </c>
      <c r="T339" s="419" t="s">
        <v>816</v>
      </c>
    </row>
    <row r="340" spans="1:21" x14ac:dyDescent="0.25">
      <c r="A340" s="390"/>
      <c r="B340" s="369"/>
      <c r="C340" s="369"/>
      <c r="D340" s="369" t="s">
        <v>811</v>
      </c>
      <c r="E340" s="379"/>
      <c r="F340" s="380"/>
      <c r="G340" s="381">
        <v>225</v>
      </c>
      <c r="H340" s="421"/>
      <c r="I340" s="375"/>
      <c r="J340" s="375"/>
      <c r="K340" s="375"/>
      <c r="L340" s="375">
        <f>Table146[[#This Row],[Green target threshold]]+Table146[[#This Row],[Green target threshold]]*0.5</f>
        <v>0</v>
      </c>
      <c r="M340" s="375"/>
      <c r="N340" s="375"/>
      <c r="O340" s="375"/>
      <c r="P340" s="375"/>
      <c r="Q340" s="375"/>
      <c r="R340" s="375">
        <f>Table146[[#This Row],[Red target threshold]]-Table146[[#This Row],[Red target threshold]]*0.5</f>
        <v>0</v>
      </c>
      <c r="S340" s="375"/>
      <c r="T340" s="396"/>
    </row>
    <row r="341" spans="1:21" x14ac:dyDescent="0.25">
      <c r="A341" s="390"/>
      <c r="B341" s="369"/>
      <c r="C341" s="369"/>
      <c r="D341" s="369" t="s">
        <v>699</v>
      </c>
      <c r="E341" s="379"/>
      <c r="F341" s="380"/>
      <c r="G341" s="381">
        <v>148</v>
      </c>
      <c r="H341" s="421"/>
      <c r="I341" s="375"/>
      <c r="J341" s="375"/>
      <c r="K341" s="375"/>
      <c r="L341" s="375">
        <f>Table146[[#This Row],[Green target threshold]]+Table146[[#This Row],[Green target threshold]]*0.5</f>
        <v>0</v>
      </c>
      <c r="M341" s="375"/>
      <c r="N341" s="375"/>
      <c r="O341" s="375"/>
      <c r="P341" s="375"/>
      <c r="Q341" s="375"/>
      <c r="R341" s="375">
        <f>Table146[[#This Row],[Red target threshold]]-Table146[[#This Row],[Red target threshold]]*0.5</f>
        <v>0</v>
      </c>
      <c r="S341" s="375"/>
      <c r="T341" s="403"/>
    </row>
    <row r="342" spans="1:21" x14ac:dyDescent="0.25">
      <c r="A342" s="390"/>
      <c r="B342" s="369"/>
      <c r="C342" s="369"/>
      <c r="D342" s="369" t="s">
        <v>812</v>
      </c>
      <c r="E342" s="379"/>
      <c r="F342" s="380"/>
      <c r="G342" s="381">
        <v>101</v>
      </c>
      <c r="H342" s="421"/>
      <c r="I342" s="375"/>
      <c r="J342" s="375"/>
      <c r="K342" s="375"/>
      <c r="L342" s="375">
        <f>Table146[[#This Row],[Green target threshold]]+Table146[[#This Row],[Green target threshold]]*0.5</f>
        <v>0</v>
      </c>
      <c r="M342" s="375"/>
      <c r="N342" s="375"/>
      <c r="O342" s="375"/>
      <c r="P342" s="375"/>
      <c r="Q342" s="375"/>
      <c r="R342" s="375">
        <f>Table146[[#This Row],[Red target threshold]]-Table146[[#This Row],[Red target threshold]]*0.5</f>
        <v>0</v>
      </c>
      <c r="S342" s="375"/>
      <c r="T342" s="396"/>
    </row>
    <row r="343" spans="1:21" x14ac:dyDescent="0.25">
      <c r="A343" s="390"/>
      <c r="B343" s="369"/>
      <c r="C343" s="369"/>
      <c r="D343" s="369" t="s">
        <v>702</v>
      </c>
      <c r="E343" s="379"/>
      <c r="F343" s="380"/>
      <c r="G343" s="381">
        <v>98</v>
      </c>
      <c r="H343" s="421"/>
      <c r="I343" s="375"/>
      <c r="J343" s="375"/>
      <c r="K343" s="375"/>
      <c r="L343" s="375">
        <f>Table146[[#This Row],[Green target threshold]]+Table146[[#This Row],[Green target threshold]]*0.5</f>
        <v>0</v>
      </c>
      <c r="M343" s="375"/>
      <c r="N343" s="375"/>
      <c r="O343" s="375"/>
      <c r="P343" s="375"/>
      <c r="Q343" s="375"/>
      <c r="R343" s="375">
        <f>Table146[[#This Row],[Red target threshold]]-Table146[[#This Row],[Red target threshold]]*0.5</f>
        <v>0</v>
      </c>
      <c r="S343" s="375"/>
      <c r="T343" s="396"/>
    </row>
    <row r="344" spans="1:21" x14ac:dyDescent="0.25">
      <c r="A344" s="390"/>
      <c r="B344" s="369"/>
      <c r="C344" s="369"/>
      <c r="D344" s="369" t="s">
        <v>813</v>
      </c>
      <c r="E344" s="379"/>
      <c r="F344" s="380"/>
      <c r="G344" s="381">
        <v>85</v>
      </c>
      <c r="H344" s="421"/>
      <c r="I344" s="375"/>
      <c r="J344" s="375"/>
      <c r="K344" s="375"/>
      <c r="L344" s="375">
        <f>Table146[[#This Row],[Green target threshold]]+Table146[[#This Row],[Green target threshold]]*0.5</f>
        <v>0</v>
      </c>
      <c r="M344" s="375"/>
      <c r="N344" s="375"/>
      <c r="O344" s="375"/>
      <c r="P344" s="375"/>
      <c r="Q344" s="375"/>
      <c r="R344" s="375">
        <f>Table146[[#This Row],[Red target threshold]]-Table146[[#This Row],[Red target threshold]]*0.5</f>
        <v>0</v>
      </c>
      <c r="S344" s="375"/>
      <c r="T344" s="396"/>
    </row>
    <row r="345" spans="1:21" x14ac:dyDescent="0.25">
      <c r="A345" s="390"/>
      <c r="B345" s="369"/>
      <c r="C345" s="369"/>
      <c r="D345" s="369" t="s">
        <v>929</v>
      </c>
      <c r="E345" s="382"/>
      <c r="F345" s="383"/>
      <c r="G345" s="384">
        <v>10</v>
      </c>
      <c r="H345" s="421"/>
      <c r="I345" s="375"/>
      <c r="J345" s="375"/>
      <c r="K345" s="375"/>
      <c r="L345" s="375">
        <f>Table146[[#This Row],[Green target threshold]]+Table146[[#This Row],[Green target threshold]]*0.5</f>
        <v>0</v>
      </c>
      <c r="M345" s="375"/>
      <c r="N345" s="375"/>
      <c r="O345" s="375"/>
      <c r="P345" s="375"/>
      <c r="Q345" s="375"/>
      <c r="R345" s="375">
        <f>Table146[[#This Row],[Red target threshold]]-Table146[[#This Row],[Red target threshold]]*0.5</f>
        <v>0</v>
      </c>
      <c r="S345" s="375"/>
      <c r="T345" s="396"/>
    </row>
    <row r="346" spans="1:21" x14ac:dyDescent="0.25">
      <c r="A346" s="390"/>
      <c r="B346" s="369"/>
      <c r="C346" s="369"/>
      <c r="D346" s="369" t="s">
        <v>844</v>
      </c>
      <c r="E346" s="382"/>
      <c r="F346" s="383"/>
      <c r="G346" s="384">
        <v>10</v>
      </c>
      <c r="H346" s="421"/>
      <c r="I346" s="375"/>
      <c r="J346" s="375"/>
      <c r="K346" s="375"/>
      <c r="L346" s="375">
        <f>Table146[[#This Row],[Green target threshold]]+Table146[[#This Row],[Green target threshold]]*0.5</f>
        <v>0</v>
      </c>
      <c r="M346" s="375"/>
      <c r="N346" s="375"/>
      <c r="O346" s="375"/>
      <c r="P346" s="375"/>
      <c r="Q346" s="375"/>
      <c r="R346" s="375">
        <f>Table146[[#This Row],[Red target threshold]]-Table146[[#This Row],[Red target threshold]]*0.5</f>
        <v>0</v>
      </c>
      <c r="S346" s="375"/>
      <c r="T346" s="396"/>
    </row>
    <row r="347" spans="1:21" x14ac:dyDescent="0.25">
      <c r="A347" s="390"/>
      <c r="B347" s="369"/>
      <c r="C347" s="369"/>
      <c r="D347" s="369" t="s">
        <v>928</v>
      </c>
      <c r="E347" s="382"/>
      <c r="F347" s="383"/>
      <c r="G347" s="384">
        <v>10</v>
      </c>
      <c r="H347" s="421"/>
      <c r="I347" s="375"/>
      <c r="J347" s="375"/>
      <c r="K347" s="375"/>
      <c r="L347" s="375">
        <f>Table146[[#This Row],[Green target threshold]]+Table146[[#This Row],[Green target threshold]]*0.5</f>
        <v>0</v>
      </c>
      <c r="M347" s="375"/>
      <c r="N347" s="375"/>
      <c r="O347" s="375"/>
      <c r="P347" s="375"/>
      <c r="Q347" s="375"/>
      <c r="R347" s="375">
        <f>Table146[[#This Row],[Red target threshold]]-Table146[[#This Row],[Red target threshold]]*0.5</f>
        <v>0</v>
      </c>
      <c r="S347" s="375"/>
      <c r="T347" s="396"/>
    </row>
    <row r="348" spans="1:21" x14ac:dyDescent="0.25">
      <c r="A348" s="390"/>
      <c r="B348" s="369"/>
      <c r="C348" s="369"/>
      <c r="D348" s="369" t="s">
        <v>1036</v>
      </c>
      <c r="E348" s="382"/>
      <c r="F348" s="383"/>
      <c r="G348" s="384">
        <v>5</v>
      </c>
      <c r="H348" s="421"/>
      <c r="I348" s="375"/>
      <c r="J348" s="375"/>
      <c r="K348" s="375"/>
      <c r="L348" s="375">
        <f>Table146[[#This Row],[Green target threshold]]+Table146[[#This Row],[Green target threshold]]*0.5</f>
        <v>0</v>
      </c>
      <c r="M348" s="375"/>
      <c r="N348" s="375"/>
      <c r="O348" s="375"/>
      <c r="P348" s="375"/>
      <c r="Q348" s="375"/>
      <c r="R348" s="375">
        <f>Table146[[#This Row],[Red target threshold]]-Table146[[#This Row],[Red target threshold]]*0.5</f>
        <v>0</v>
      </c>
      <c r="S348" s="375"/>
      <c r="T348" s="396"/>
    </row>
    <row r="349" spans="1:21" x14ac:dyDescent="0.25">
      <c r="A349" s="390"/>
      <c r="B349" s="369"/>
      <c r="C349" s="369"/>
      <c r="D349" s="369" t="s">
        <v>713</v>
      </c>
      <c r="E349" s="382"/>
      <c r="F349" s="383"/>
      <c r="G349" s="384">
        <v>5</v>
      </c>
      <c r="H349" s="421"/>
      <c r="I349" s="375"/>
      <c r="J349" s="375"/>
      <c r="K349" s="375"/>
      <c r="L349" s="375">
        <f>Table146[[#This Row],[Green target threshold]]+Table146[[#This Row],[Green target threshold]]*0.5</f>
        <v>0</v>
      </c>
      <c r="M349" s="375"/>
      <c r="N349" s="375"/>
      <c r="O349" s="375"/>
      <c r="P349" s="375"/>
      <c r="Q349" s="375"/>
      <c r="R349" s="375">
        <f>Table146[[#This Row],[Red target threshold]]-Table146[[#This Row],[Red target threshold]]*0.5</f>
        <v>0</v>
      </c>
      <c r="S349" s="375"/>
      <c r="T349" s="396"/>
    </row>
    <row r="350" spans="1:21" s="386" customFormat="1" x14ac:dyDescent="0.25">
      <c r="A350" s="409"/>
      <c r="B350" s="406"/>
      <c r="C350" s="406"/>
      <c r="D350" s="433"/>
      <c r="E350" s="407">
        <v>2015</v>
      </c>
      <c r="F350" s="407">
        <v>2016</v>
      </c>
      <c r="G350" s="407">
        <v>2017</v>
      </c>
      <c r="H350" s="407"/>
      <c r="I350" s="407"/>
      <c r="J350" s="407"/>
      <c r="K350" s="407"/>
      <c r="L350" s="407">
        <f>Table146[[#This Row],[Green target threshold]]+Table146[[#This Row],[Green target threshold]]*0.5</f>
        <v>0</v>
      </c>
      <c r="M350" s="407"/>
      <c r="N350" s="407"/>
      <c r="O350" s="407"/>
      <c r="P350" s="407"/>
      <c r="Q350" s="407"/>
      <c r="R350" s="407">
        <f>Table146[[#This Row],[Red target threshold]]-Table146[[#This Row],[Red target threshold]]*0.5</f>
        <v>0</v>
      </c>
      <c r="S350" s="407"/>
      <c r="T350" s="413"/>
    </row>
    <row r="351" spans="1:21" x14ac:dyDescent="0.25">
      <c r="A351" s="418" t="s">
        <v>598</v>
      </c>
      <c r="B351" s="437" t="s">
        <v>829</v>
      </c>
      <c r="C351" s="437" t="s">
        <v>819</v>
      </c>
      <c r="D351" s="436" t="s">
        <v>904</v>
      </c>
      <c r="E351" s="420">
        <v>106330.2</v>
      </c>
      <c r="F351" s="420">
        <v>108375.6</v>
      </c>
      <c r="G351" s="420">
        <v>107659.5</v>
      </c>
      <c r="H351" s="421">
        <v>2015</v>
      </c>
      <c r="I351" s="421">
        <v>106330.2</v>
      </c>
      <c r="J351" s="421">
        <v>2015</v>
      </c>
      <c r="K351" s="411">
        <v>108644</v>
      </c>
      <c r="L351" s="411">
        <f>Table146[[#This Row],[Green target threshold]]-Table146[[#This Row],[Green target threshold]]*0.5</f>
        <v>37215.57</v>
      </c>
      <c r="M351" s="427">
        <f>Table146[[#This Row],[Data reference value]]+Table146[[#This Row],[Data reference value]]*Table146[[#This Row],[Improvement rate]]</f>
        <v>74431.14</v>
      </c>
      <c r="N351" s="427">
        <v>-0.3</v>
      </c>
      <c r="O351" s="421" t="s">
        <v>1140</v>
      </c>
      <c r="P351" s="421">
        <f>(Table146[[#This Row],[Green target threshold]]-Table146[[#This Row],[Model reference value]])*0.5+Table146[[#This Row],[Model reference value]]</f>
        <v>91537.57</v>
      </c>
      <c r="Q351" s="421">
        <f>Table146[[#This Row],[Model reference value]]</f>
        <v>108644</v>
      </c>
      <c r="R351" s="421">
        <f>Table146[[#This Row],[Red target threshold]]+Table146[[#This Row],[Red target threshold]]*0.5</f>
        <v>162966</v>
      </c>
      <c r="S351" s="421"/>
      <c r="T351" s="419" t="s">
        <v>846</v>
      </c>
      <c r="U351" s="371" t="s">
        <v>934</v>
      </c>
    </row>
    <row r="352" spans="1:21" x14ac:dyDescent="0.25">
      <c r="A352" s="390"/>
      <c r="B352" s="369"/>
      <c r="C352" s="369"/>
      <c r="D352" s="385" t="s">
        <v>777</v>
      </c>
      <c r="E352" s="379">
        <v>29306</v>
      </c>
      <c r="F352" s="380">
        <v>26522.6</v>
      </c>
      <c r="G352" s="381">
        <v>24580.9</v>
      </c>
      <c r="H352" s="421"/>
      <c r="I352" s="375"/>
      <c r="J352" s="375"/>
      <c r="K352" s="375"/>
      <c r="L352" s="375">
        <f>Table146[[#This Row],[Green target threshold]]+Table146[[#This Row],[Green target threshold]]*0.5</f>
        <v>0</v>
      </c>
      <c r="M352" s="375"/>
      <c r="N352" s="375"/>
      <c r="O352" s="375"/>
      <c r="P352" s="375"/>
      <c r="Q352" s="375"/>
      <c r="R352" s="375">
        <f>Table146[[#This Row],[Red target threshold]]-Table146[[#This Row],[Red target threshold]]*0.5</f>
        <v>0</v>
      </c>
      <c r="S352" s="375"/>
      <c r="T352" s="396"/>
    </row>
    <row r="353" spans="1:21" x14ac:dyDescent="0.25">
      <c r="A353" s="390"/>
      <c r="B353" s="369"/>
      <c r="C353" s="369"/>
      <c r="D353" s="385" t="s">
        <v>691</v>
      </c>
      <c r="E353" s="379">
        <v>17372.3</v>
      </c>
      <c r="F353" s="380">
        <v>16735.400000000001</v>
      </c>
      <c r="G353" s="381">
        <v>16958.400000000001</v>
      </c>
      <c r="H353" s="421"/>
      <c r="I353" s="375"/>
      <c r="J353" s="375"/>
      <c r="K353" s="375"/>
      <c r="L353" s="375">
        <f>Table146[[#This Row],[Green target threshold]]+Table146[[#This Row],[Green target threshold]]*0.5</f>
        <v>0</v>
      </c>
      <c r="M353" s="375"/>
      <c r="N353" s="375"/>
      <c r="O353" s="375"/>
      <c r="P353" s="375"/>
      <c r="Q353" s="375"/>
      <c r="R353" s="375">
        <f>Table146[[#This Row],[Red target threshold]]-Table146[[#This Row],[Red target threshold]]*0.5</f>
        <v>0</v>
      </c>
      <c r="S353" s="375"/>
      <c r="T353" s="396"/>
    </row>
    <row r="354" spans="1:21" x14ac:dyDescent="0.25">
      <c r="A354" s="390"/>
      <c r="B354" s="369"/>
      <c r="C354" s="369"/>
      <c r="D354" s="385" t="s">
        <v>805</v>
      </c>
      <c r="E354" s="379">
        <v>12161.9</v>
      </c>
      <c r="F354" s="380">
        <v>12812.9</v>
      </c>
      <c r="G354" s="381">
        <v>12897.9</v>
      </c>
      <c r="H354" s="421"/>
      <c r="I354" s="375"/>
      <c r="J354" s="375"/>
      <c r="K354" s="375"/>
      <c r="L354" s="375">
        <f>Table146[[#This Row],[Green target threshold]]+Table146[[#This Row],[Green target threshold]]*0.5</f>
        <v>0</v>
      </c>
      <c r="M354" s="375"/>
      <c r="N354" s="375"/>
      <c r="O354" s="375"/>
      <c r="P354" s="375"/>
      <c r="Q354" s="375"/>
      <c r="R354" s="375">
        <f>Table146[[#This Row],[Red target threshold]]-Table146[[#This Row],[Red target threshold]]*0.5</f>
        <v>0</v>
      </c>
      <c r="S354" s="375"/>
      <c r="T354" s="396"/>
    </row>
    <row r="355" spans="1:21" x14ac:dyDescent="0.25">
      <c r="A355" s="390"/>
      <c r="B355" s="369"/>
      <c r="C355" s="369"/>
      <c r="D355" s="385" t="s">
        <v>778</v>
      </c>
      <c r="E355" s="379">
        <v>3532.7</v>
      </c>
      <c r="F355" s="380">
        <v>4366</v>
      </c>
      <c r="G355" s="381">
        <v>4377</v>
      </c>
      <c r="H355" s="421"/>
      <c r="I355" s="375"/>
      <c r="J355" s="375"/>
      <c r="K355" s="375"/>
      <c r="L355" s="375">
        <f>Table146[[#This Row],[Green target threshold]]+Table146[[#This Row],[Green target threshold]]*0.5</f>
        <v>0</v>
      </c>
      <c r="M355" s="375"/>
      <c r="N355" s="375"/>
      <c r="O355" s="375"/>
      <c r="P355" s="375"/>
      <c r="Q355" s="375"/>
      <c r="R355" s="375">
        <f>Table146[[#This Row],[Red target threshold]]-Table146[[#This Row],[Red target threshold]]*0.5</f>
        <v>0</v>
      </c>
      <c r="S355" s="375"/>
      <c r="T355" s="396"/>
    </row>
    <row r="356" spans="1:21" x14ac:dyDescent="0.25">
      <c r="A356" s="390"/>
      <c r="B356" s="369"/>
      <c r="C356" s="369"/>
      <c r="D356" s="385" t="s">
        <v>775</v>
      </c>
      <c r="E356" s="379">
        <v>2860</v>
      </c>
      <c r="F356" s="380">
        <v>3231.9</v>
      </c>
      <c r="G356" s="381">
        <v>3473</v>
      </c>
      <c r="H356" s="421"/>
      <c r="I356" s="375"/>
      <c r="J356" s="375"/>
      <c r="K356" s="375"/>
      <c r="L356" s="375">
        <f>Table146[[#This Row],[Green target threshold]]+Table146[[#This Row],[Green target threshold]]*0.5</f>
        <v>0</v>
      </c>
      <c r="M356" s="375"/>
      <c r="N356" s="375"/>
      <c r="O356" s="375"/>
      <c r="P356" s="375"/>
      <c r="Q356" s="375"/>
      <c r="R356" s="375">
        <f>Table146[[#This Row],[Red target threshold]]-Table146[[#This Row],[Red target threshold]]*0.5</f>
        <v>0</v>
      </c>
      <c r="S356" s="375"/>
      <c r="T356" s="396"/>
    </row>
    <row r="357" spans="1:21" x14ac:dyDescent="0.25">
      <c r="A357" s="390"/>
      <c r="B357" s="369"/>
      <c r="C357" s="369"/>
      <c r="D357" s="385" t="s">
        <v>810</v>
      </c>
      <c r="E357" s="382">
        <v>5.6</v>
      </c>
      <c r="F357" s="383">
        <v>6.6</v>
      </c>
      <c r="G357" s="384">
        <v>6.7</v>
      </c>
      <c r="H357" s="421"/>
      <c r="I357" s="375"/>
      <c r="J357" s="375"/>
      <c r="K357" s="375"/>
      <c r="L357" s="375">
        <f>Table146[[#This Row],[Green target threshold]]+Table146[[#This Row],[Green target threshold]]*0.5</f>
        <v>0</v>
      </c>
      <c r="M357" s="375"/>
      <c r="N357" s="375"/>
      <c r="O357" s="375"/>
      <c r="P357" s="375"/>
      <c r="Q357" s="375"/>
      <c r="R357" s="375">
        <f>Table146[[#This Row],[Red target threshold]]-Table146[[#This Row],[Red target threshold]]*0.5</f>
        <v>0</v>
      </c>
      <c r="S357" s="375"/>
      <c r="T357" s="396"/>
    </row>
    <row r="358" spans="1:21" x14ac:dyDescent="0.25">
      <c r="A358" s="390"/>
      <c r="B358" s="369"/>
      <c r="C358" s="369"/>
      <c r="D358" s="385" t="s">
        <v>806</v>
      </c>
      <c r="E358" s="382">
        <v>9.6999999999999993</v>
      </c>
      <c r="F358" s="383">
        <v>5.3</v>
      </c>
      <c r="G358" s="384">
        <v>7.1</v>
      </c>
      <c r="H358" s="421"/>
      <c r="I358" s="375"/>
      <c r="J358" s="375"/>
      <c r="K358" s="375"/>
      <c r="L358" s="375">
        <f>Table146[[#This Row],[Green target threshold]]+Table146[[#This Row],[Green target threshold]]*0.5</f>
        <v>0</v>
      </c>
      <c r="M358" s="375"/>
      <c r="N358" s="375"/>
      <c r="O358" s="375"/>
      <c r="P358" s="375"/>
      <c r="Q358" s="375"/>
      <c r="R358" s="375">
        <f>Table146[[#This Row],[Red target threshold]]-Table146[[#This Row],[Red target threshold]]*0.5</f>
        <v>0</v>
      </c>
      <c r="S358" s="375"/>
      <c r="T358" s="396"/>
    </row>
    <row r="359" spans="1:21" x14ac:dyDescent="0.25">
      <c r="A359" s="390"/>
      <c r="B359" s="369"/>
      <c r="C359" s="369"/>
      <c r="D359" s="385" t="s">
        <v>689</v>
      </c>
      <c r="E359" s="382">
        <v>8.4</v>
      </c>
      <c r="F359" s="383">
        <v>7.3</v>
      </c>
      <c r="G359" s="384">
        <v>7.2</v>
      </c>
      <c r="H359" s="421"/>
      <c r="I359" s="375"/>
      <c r="J359" s="375"/>
      <c r="K359" s="375"/>
      <c r="L359" s="375">
        <f>Table146[[#This Row],[Green target threshold]]+Table146[[#This Row],[Green target threshold]]*0.5</f>
        <v>0</v>
      </c>
      <c r="M359" s="375"/>
      <c r="N359" s="375"/>
      <c r="O359" s="375"/>
      <c r="P359" s="375"/>
      <c r="Q359" s="375"/>
      <c r="R359" s="375">
        <f>Table146[[#This Row],[Red target threshold]]-Table146[[#This Row],[Red target threshold]]*0.5</f>
        <v>0</v>
      </c>
      <c r="S359" s="375"/>
      <c r="T359" s="396"/>
    </row>
    <row r="360" spans="1:21" x14ac:dyDescent="0.25">
      <c r="A360" s="390"/>
      <c r="B360" s="369"/>
      <c r="C360" s="369"/>
      <c r="D360" s="385" t="s">
        <v>807</v>
      </c>
      <c r="E360" s="382"/>
      <c r="F360" s="383">
        <v>10</v>
      </c>
      <c r="G360" s="384">
        <v>13.5</v>
      </c>
      <c r="H360" s="421"/>
      <c r="I360" s="375"/>
      <c r="J360" s="375"/>
      <c r="K360" s="375"/>
      <c r="L360" s="375">
        <f>Table146[[#This Row],[Green target threshold]]+Table146[[#This Row],[Green target threshold]]*0.5</f>
        <v>0</v>
      </c>
      <c r="M360" s="375"/>
      <c r="N360" s="375"/>
      <c r="O360" s="375"/>
      <c r="P360" s="375"/>
      <c r="Q360" s="375"/>
      <c r="R360" s="375">
        <f>Table146[[#This Row],[Red target threshold]]-Table146[[#This Row],[Red target threshold]]*0.5</f>
        <v>0</v>
      </c>
      <c r="S360" s="375"/>
      <c r="T360" s="396"/>
    </row>
    <row r="361" spans="1:21" x14ac:dyDescent="0.25">
      <c r="A361" s="390"/>
      <c r="B361" s="369"/>
      <c r="C361" s="369"/>
      <c r="D361" s="385" t="s">
        <v>809</v>
      </c>
      <c r="E361" s="382">
        <v>19.100000000000001</v>
      </c>
      <c r="F361" s="383">
        <v>19.100000000000001</v>
      </c>
      <c r="G361" s="384">
        <v>20.8</v>
      </c>
      <c r="H361" s="421"/>
      <c r="I361" s="375"/>
      <c r="J361" s="375"/>
      <c r="K361" s="375"/>
      <c r="L361" s="375">
        <f>Table146[[#This Row],[Green target threshold]]+Table146[[#This Row],[Green target threshold]]*0.5</f>
        <v>0</v>
      </c>
      <c r="M361" s="375"/>
      <c r="N361" s="375"/>
      <c r="O361" s="375"/>
      <c r="P361" s="375"/>
      <c r="Q361" s="375"/>
      <c r="R361" s="375">
        <f>Table146[[#This Row],[Red target threshold]]-Table146[[#This Row],[Red target threshold]]*0.5</f>
        <v>0</v>
      </c>
      <c r="S361" s="375"/>
      <c r="T361" s="396"/>
    </row>
    <row r="362" spans="1:21" s="386" customFormat="1" x14ac:dyDescent="0.25">
      <c r="A362" s="409"/>
      <c r="B362" s="406"/>
      <c r="C362" s="406"/>
      <c r="D362" s="406"/>
      <c r="E362" s="407">
        <v>2015</v>
      </c>
      <c r="F362" s="407">
        <v>2016</v>
      </c>
      <c r="G362" s="407">
        <v>2017</v>
      </c>
      <c r="H362" s="407"/>
      <c r="I362" s="407"/>
      <c r="J362" s="407"/>
      <c r="K362" s="407"/>
      <c r="L362" s="407">
        <f>Table146[[#This Row],[Green target threshold]]+Table146[[#This Row],[Green target threshold]]*0.5</f>
        <v>0</v>
      </c>
      <c r="M362" s="407"/>
      <c r="N362" s="407"/>
      <c r="O362" s="407"/>
      <c r="P362" s="407"/>
      <c r="Q362" s="407"/>
      <c r="R362" s="407">
        <f>Table146[[#This Row],[Red target threshold]]-Table146[[#This Row],[Red target threshold]]*0.5</f>
        <v>0</v>
      </c>
      <c r="S362" s="407"/>
      <c r="T362" s="413"/>
    </row>
    <row r="363" spans="1:21" x14ac:dyDescent="0.25">
      <c r="A363" s="418" t="s">
        <v>601</v>
      </c>
      <c r="B363" s="437" t="s">
        <v>828</v>
      </c>
      <c r="C363" s="437" t="s">
        <v>1038</v>
      </c>
      <c r="D363" s="436" t="s">
        <v>904</v>
      </c>
      <c r="E363" s="420">
        <f>42290.37*0.4365</f>
        <v>18459.746505000003</v>
      </c>
      <c r="F363" s="420">
        <f>44294.649*0.4365</f>
        <v>19334.614288499997</v>
      </c>
      <c r="G363" s="420">
        <f>45451.398*0.4365</f>
        <v>19839.535227</v>
      </c>
      <c r="H363" s="421">
        <v>2015</v>
      </c>
      <c r="I363" s="421">
        <v>18459.746505000003</v>
      </c>
      <c r="J363" s="421">
        <v>2015</v>
      </c>
      <c r="K363" s="411">
        <v>20339.8</v>
      </c>
      <c r="L363" s="411">
        <f>Table146[[#This Row],[Green target threshold]]-Table146[[#This Row],[Green target threshold]]*0.5</f>
        <v>6460.911276750001</v>
      </c>
      <c r="M363" s="427">
        <f>Table146[[#This Row],[Data reference value]]+Table146[[#This Row],[Data reference value]]*Table146[[#This Row],[Improvement rate]]</f>
        <v>12921.822553500002</v>
      </c>
      <c r="N363" s="427">
        <v>-0.3</v>
      </c>
      <c r="O363" s="421" t="s">
        <v>1140</v>
      </c>
      <c r="P363" s="421">
        <f>(Table146[[#This Row],[Green target threshold]]-Table146[[#This Row],[Model reference value]])*0.5+Table146[[#This Row],[Model reference value]]</f>
        <v>16630.811276749999</v>
      </c>
      <c r="Q363" s="421">
        <f>Table146[[#This Row],[Model reference value]]</f>
        <v>20339.8</v>
      </c>
      <c r="R363" s="421">
        <f>Table146[[#This Row],[Red target threshold]]+Table146[[#This Row],[Red target threshold]]*0.5</f>
        <v>30509.699999999997</v>
      </c>
      <c r="S363" s="421" t="s">
        <v>1095</v>
      </c>
      <c r="T363" s="419" t="s">
        <v>846</v>
      </c>
      <c r="U363" s="371" t="s">
        <v>934</v>
      </c>
    </row>
    <row r="364" spans="1:21" x14ac:dyDescent="0.25">
      <c r="A364" s="390"/>
      <c r="B364" s="369"/>
      <c r="C364" s="369"/>
      <c r="D364" s="369"/>
      <c r="E364" s="379"/>
      <c r="F364" s="380"/>
      <c r="G364" s="381"/>
      <c r="H364" s="421"/>
      <c r="I364" s="375"/>
      <c r="J364" s="375"/>
      <c r="K364" s="375"/>
      <c r="L364" s="375">
        <f>Table146[[#This Row],[Green target threshold]]+Table146[[#This Row],[Green target threshold]]*0.5</f>
        <v>0</v>
      </c>
      <c r="M364" s="375"/>
      <c r="N364" s="375"/>
      <c r="O364" s="375"/>
      <c r="P364" s="375"/>
      <c r="Q364" s="375"/>
      <c r="R364" s="375">
        <f>Table146[[#This Row],[Red target threshold]]-Table146[[#This Row],[Red target threshold]]*0.5</f>
        <v>0</v>
      </c>
      <c r="S364" s="375"/>
      <c r="T364" s="396"/>
    </row>
    <row r="365" spans="1:21" x14ac:dyDescent="0.25">
      <c r="A365" s="390"/>
      <c r="B365" s="369"/>
      <c r="C365" s="369"/>
      <c r="D365" s="369"/>
      <c r="E365" s="379"/>
      <c r="F365" s="380"/>
      <c r="G365" s="381"/>
      <c r="H365" s="421"/>
      <c r="I365" s="375"/>
      <c r="J365" s="375"/>
      <c r="K365" s="375"/>
      <c r="L365" s="375">
        <f>Table146[[#This Row],[Green target threshold]]+Table146[[#This Row],[Green target threshold]]*0.5</f>
        <v>0</v>
      </c>
      <c r="M365" s="375"/>
      <c r="N365" s="375"/>
      <c r="O365" s="375"/>
      <c r="P365" s="375"/>
      <c r="Q365" s="375"/>
      <c r="R365" s="375">
        <f>Table146[[#This Row],[Red target threshold]]-Table146[[#This Row],[Red target threshold]]*0.5</f>
        <v>0</v>
      </c>
      <c r="S365" s="375"/>
      <c r="T365" s="396"/>
    </row>
    <row r="366" spans="1:21" x14ac:dyDescent="0.25">
      <c r="A366" s="390"/>
      <c r="B366" s="369"/>
      <c r="C366" s="369"/>
      <c r="D366" s="369"/>
      <c r="E366" s="379"/>
      <c r="F366" s="380"/>
      <c r="G366" s="381"/>
      <c r="H366" s="421"/>
      <c r="I366" s="375"/>
      <c r="J366" s="375"/>
      <c r="K366" s="375"/>
      <c r="L366" s="375">
        <f>Table146[[#This Row],[Green target threshold]]+Table146[[#This Row],[Green target threshold]]*0.5</f>
        <v>0</v>
      </c>
      <c r="M366" s="375"/>
      <c r="N366" s="375"/>
      <c r="O366" s="375"/>
      <c r="P366" s="375"/>
      <c r="Q366" s="375"/>
      <c r="R366" s="375">
        <f>Table146[[#This Row],[Red target threshold]]-Table146[[#This Row],[Red target threshold]]*0.5</f>
        <v>0</v>
      </c>
      <c r="S366" s="375"/>
      <c r="T366" s="396"/>
    </row>
    <row r="367" spans="1:21" x14ac:dyDescent="0.25">
      <c r="A367" s="390"/>
      <c r="B367" s="369"/>
      <c r="C367" s="369"/>
      <c r="D367" s="369"/>
      <c r="E367" s="379"/>
      <c r="F367" s="380"/>
      <c r="G367" s="381"/>
      <c r="H367" s="421"/>
      <c r="I367" s="375"/>
      <c r="J367" s="375"/>
      <c r="K367" s="375"/>
      <c r="L367" s="375">
        <f>Table146[[#This Row],[Green target threshold]]+Table146[[#This Row],[Green target threshold]]*0.5</f>
        <v>0</v>
      </c>
      <c r="M367" s="375"/>
      <c r="N367" s="375"/>
      <c r="O367" s="375"/>
      <c r="P367" s="375"/>
      <c r="Q367" s="375"/>
      <c r="R367" s="375">
        <f>Table146[[#This Row],[Red target threshold]]-Table146[[#This Row],[Red target threshold]]*0.5</f>
        <v>0</v>
      </c>
      <c r="S367" s="375"/>
      <c r="T367" s="396"/>
    </row>
    <row r="368" spans="1:21" x14ac:dyDescent="0.25">
      <c r="A368" s="390"/>
      <c r="B368" s="369"/>
      <c r="C368" s="369"/>
      <c r="D368" s="369"/>
      <c r="E368" s="379"/>
      <c r="F368" s="380"/>
      <c r="G368" s="381"/>
      <c r="H368" s="421"/>
      <c r="I368" s="375"/>
      <c r="J368" s="375"/>
      <c r="K368" s="375"/>
      <c r="L368" s="375">
        <f>Table146[[#This Row],[Green target threshold]]+Table146[[#This Row],[Green target threshold]]*0.5</f>
        <v>0</v>
      </c>
      <c r="M368" s="375"/>
      <c r="N368" s="375"/>
      <c r="O368" s="375"/>
      <c r="P368" s="375"/>
      <c r="Q368" s="375"/>
      <c r="R368" s="375">
        <f>Table146[[#This Row],[Red target threshold]]-Table146[[#This Row],[Red target threshold]]*0.5</f>
        <v>0</v>
      </c>
      <c r="S368" s="375"/>
      <c r="T368" s="396"/>
    </row>
    <row r="369" spans="1:21" x14ac:dyDescent="0.25">
      <c r="A369" s="390"/>
      <c r="B369" s="369"/>
      <c r="C369" s="369"/>
      <c r="D369" s="369"/>
      <c r="E369" s="382"/>
      <c r="F369" s="383"/>
      <c r="G369" s="384"/>
      <c r="H369" s="421"/>
      <c r="I369" s="375"/>
      <c r="J369" s="375"/>
      <c r="K369" s="375"/>
      <c r="L369" s="375">
        <f>Table146[[#This Row],[Green target threshold]]+Table146[[#This Row],[Green target threshold]]*0.5</f>
        <v>0</v>
      </c>
      <c r="M369" s="375"/>
      <c r="N369" s="375"/>
      <c r="O369" s="375"/>
      <c r="P369" s="375"/>
      <c r="Q369" s="375"/>
      <c r="R369" s="375">
        <f>Table146[[#This Row],[Red target threshold]]-Table146[[#This Row],[Red target threshold]]*0.5</f>
        <v>0</v>
      </c>
      <c r="S369" s="375"/>
      <c r="T369" s="396"/>
    </row>
    <row r="370" spans="1:21" x14ac:dyDescent="0.25">
      <c r="A370" s="390"/>
      <c r="B370" s="369"/>
      <c r="C370" s="369"/>
      <c r="D370" s="369"/>
      <c r="E370" s="382"/>
      <c r="F370" s="383"/>
      <c r="G370" s="384"/>
      <c r="H370" s="421"/>
      <c r="I370" s="375"/>
      <c r="J370" s="375"/>
      <c r="K370" s="375"/>
      <c r="L370" s="375">
        <f>Table146[[#This Row],[Green target threshold]]+Table146[[#This Row],[Green target threshold]]*0.5</f>
        <v>0</v>
      </c>
      <c r="M370" s="375"/>
      <c r="N370" s="375"/>
      <c r="O370" s="375"/>
      <c r="P370" s="375"/>
      <c r="Q370" s="375"/>
      <c r="R370" s="375">
        <f>Table146[[#This Row],[Red target threshold]]-Table146[[#This Row],[Red target threshold]]*0.5</f>
        <v>0</v>
      </c>
      <c r="S370" s="375"/>
      <c r="T370" s="396"/>
    </row>
    <row r="371" spans="1:21" x14ac:dyDescent="0.25">
      <c r="A371" s="390"/>
      <c r="B371" s="369"/>
      <c r="C371" s="369"/>
      <c r="D371" s="369"/>
      <c r="E371" s="382"/>
      <c r="F371" s="383"/>
      <c r="G371" s="384"/>
      <c r="H371" s="421"/>
      <c r="I371" s="375"/>
      <c r="J371" s="375"/>
      <c r="K371" s="375"/>
      <c r="L371" s="375">
        <f>Table146[[#This Row],[Green target threshold]]+Table146[[#This Row],[Green target threshold]]*0.5</f>
        <v>0</v>
      </c>
      <c r="M371" s="375"/>
      <c r="N371" s="375"/>
      <c r="O371" s="375"/>
      <c r="P371" s="375"/>
      <c r="Q371" s="375"/>
      <c r="R371" s="375">
        <f>Table146[[#This Row],[Red target threshold]]-Table146[[#This Row],[Red target threshold]]*0.5</f>
        <v>0</v>
      </c>
      <c r="S371" s="375"/>
      <c r="T371" s="396"/>
    </row>
    <row r="372" spans="1:21" x14ac:dyDescent="0.25">
      <c r="A372" s="390"/>
      <c r="B372" s="369"/>
      <c r="C372" s="369"/>
      <c r="D372" s="369"/>
      <c r="E372" s="382"/>
      <c r="F372" s="383"/>
      <c r="G372" s="384"/>
      <c r="H372" s="421"/>
      <c r="I372" s="375"/>
      <c r="J372" s="375"/>
      <c r="K372" s="375"/>
      <c r="L372" s="375">
        <f>Table146[[#This Row],[Green target threshold]]+Table146[[#This Row],[Green target threshold]]*0.5</f>
        <v>0</v>
      </c>
      <c r="M372" s="375"/>
      <c r="N372" s="375"/>
      <c r="O372" s="375"/>
      <c r="P372" s="375"/>
      <c r="Q372" s="375"/>
      <c r="R372" s="375">
        <f>Table146[[#This Row],[Red target threshold]]-Table146[[#This Row],[Red target threshold]]*0.5</f>
        <v>0</v>
      </c>
      <c r="S372" s="375"/>
      <c r="T372" s="396"/>
    </row>
    <row r="373" spans="1:21" x14ac:dyDescent="0.25">
      <c r="A373" s="390"/>
      <c r="B373" s="369"/>
      <c r="C373" s="369"/>
      <c r="D373" s="369"/>
      <c r="E373" s="382"/>
      <c r="F373" s="383"/>
      <c r="G373" s="384"/>
      <c r="H373" s="421"/>
      <c r="I373" s="375"/>
      <c r="J373" s="375"/>
      <c r="K373" s="375"/>
      <c r="L373" s="375">
        <f>Table146[[#This Row],[Green target threshold]]+Table146[[#This Row],[Green target threshold]]*0.5</f>
        <v>0</v>
      </c>
      <c r="M373" s="375"/>
      <c r="N373" s="375"/>
      <c r="O373" s="375"/>
      <c r="P373" s="375"/>
      <c r="Q373" s="375"/>
      <c r="R373" s="375">
        <f>Table146[[#This Row],[Red target threshold]]-Table146[[#This Row],[Red target threshold]]*0.5</f>
        <v>0</v>
      </c>
      <c r="S373" s="375"/>
      <c r="T373" s="396"/>
    </row>
    <row r="374" spans="1:21" s="386" customFormat="1" x14ac:dyDescent="0.25">
      <c r="A374" s="409"/>
      <c r="B374" s="406"/>
      <c r="C374" s="406"/>
      <c r="D374" s="406"/>
      <c r="E374" s="406">
        <v>2015</v>
      </c>
      <c r="F374" s="406">
        <v>2016</v>
      </c>
      <c r="G374" s="406">
        <v>2017</v>
      </c>
      <c r="H374" s="406"/>
      <c r="I374" s="406"/>
      <c r="J374" s="406"/>
      <c r="K374" s="406"/>
      <c r="L374" s="406">
        <f>Table146[[#This Row],[Green target threshold]]+Table146[[#This Row],[Green target threshold]]*0.5</f>
        <v>0</v>
      </c>
      <c r="M374" s="406"/>
      <c r="N374" s="406"/>
      <c r="O374" s="406"/>
      <c r="P374" s="406"/>
      <c r="Q374" s="406"/>
      <c r="R374" s="406">
        <f>Table146[[#This Row],[Red target threshold]]-Table146[[#This Row],[Red target threshold]]*0.5</f>
        <v>0</v>
      </c>
      <c r="S374" s="406"/>
      <c r="T374" s="413"/>
    </row>
    <row r="375" spans="1:21" x14ac:dyDescent="0.25">
      <c r="A375" s="418" t="s">
        <v>831</v>
      </c>
      <c r="B375" s="437" t="s">
        <v>830</v>
      </c>
      <c r="C375" s="437" t="s">
        <v>667</v>
      </c>
      <c r="D375" s="436" t="s">
        <v>799</v>
      </c>
      <c r="E375" s="420">
        <v>5.6833</v>
      </c>
      <c r="F375" s="420">
        <v>5.3004074074074081</v>
      </c>
      <c r="G375" s="420">
        <v>5.7963461538461543</v>
      </c>
      <c r="H375" s="421">
        <v>2015</v>
      </c>
      <c r="I375" s="421">
        <v>5.6833</v>
      </c>
      <c r="J375" s="421">
        <v>2015</v>
      </c>
      <c r="K375" s="411">
        <v>9.7214799999999997</v>
      </c>
      <c r="L375" s="411">
        <f>Table146[[#This Row],[Green target threshold]]-Table146[[#This Row],[Green target threshold]]*0.5</f>
        <v>1.420825</v>
      </c>
      <c r="M375" s="422">
        <f>Table146[[#This Row],[Data reference value]]+Table146[[#This Row],[Data reference value]]*Table146[[#This Row],[Improvement rate]]</f>
        <v>2.84165</v>
      </c>
      <c r="N375" s="422">
        <v>-0.5</v>
      </c>
      <c r="O375" s="421" t="s">
        <v>1140</v>
      </c>
      <c r="P375" s="421">
        <f>(Table146[[#This Row],[Green target threshold]]-Table146[[#This Row],[Model reference value]])*0.5+Table146[[#This Row],[Model reference value]]</f>
        <v>6.2815649999999996</v>
      </c>
      <c r="Q375" s="421">
        <f>Table146[[#This Row],[Model reference value]]</f>
        <v>9.7214799999999997</v>
      </c>
      <c r="R375" s="421">
        <f>Table146[[#This Row],[Red target threshold]]+Table146[[#This Row],[Red target threshold]]*0.5</f>
        <v>14.58222</v>
      </c>
      <c r="S375" s="421" t="s">
        <v>1142</v>
      </c>
      <c r="T375" s="419" t="s">
        <v>822</v>
      </c>
      <c r="U375" s="360" t="s">
        <v>823</v>
      </c>
    </row>
    <row r="376" spans="1:21" x14ac:dyDescent="0.25">
      <c r="A376" s="390"/>
      <c r="B376" s="369"/>
      <c r="C376" s="369"/>
      <c r="D376" s="378" t="s">
        <v>715</v>
      </c>
      <c r="E376" s="379">
        <v>58.088999999999999</v>
      </c>
      <c r="F376" s="380">
        <v>56.792999999999999</v>
      </c>
      <c r="G376" s="381">
        <v>57.323999999999998</v>
      </c>
      <c r="H376" s="421">
        <v>2017</v>
      </c>
      <c r="I376" s="375">
        <v>57.323999999999998</v>
      </c>
      <c r="J376" s="375"/>
      <c r="K376" s="375"/>
      <c r="L376" s="375">
        <f>Table146[[#This Row],[Green target threshold]]+Table146[[#This Row],[Green target threshold]]*0.5</f>
        <v>0</v>
      </c>
      <c r="M376" s="375"/>
      <c r="N376" s="375"/>
      <c r="O376" s="375"/>
      <c r="P376" s="375"/>
      <c r="Q376" s="375"/>
      <c r="R376" s="375">
        <f>Table146[[#This Row],[Red target threshold]]-Table146[[#This Row],[Red target threshold]]*0.5</f>
        <v>0</v>
      </c>
      <c r="S376" s="375"/>
      <c r="T376" s="396"/>
    </row>
    <row r="377" spans="1:21" x14ac:dyDescent="0.25">
      <c r="A377" s="390"/>
      <c r="B377" s="369"/>
      <c r="C377" s="369"/>
      <c r="D377" s="378" t="s">
        <v>771</v>
      </c>
      <c r="E377" s="379">
        <v>41.774000000000001</v>
      </c>
      <c r="F377" s="380">
        <v>46.052999999999997</v>
      </c>
      <c r="G377" s="381">
        <v>45.892000000000003</v>
      </c>
      <c r="H377" s="421">
        <v>2017</v>
      </c>
      <c r="I377" s="375">
        <v>45.892000000000003</v>
      </c>
      <c r="J377" s="375"/>
      <c r="K377" s="375"/>
      <c r="L377" s="375">
        <f>Table146[[#This Row],[Green target threshold]]+Table146[[#This Row],[Green target threshold]]*0.5</f>
        <v>0</v>
      </c>
      <c r="M377" s="375"/>
      <c r="N377" s="375"/>
      <c r="O377" s="375"/>
      <c r="P377" s="375"/>
      <c r="Q377" s="375"/>
      <c r="R377" s="375">
        <f>Table146[[#This Row],[Red target threshold]]-Table146[[#This Row],[Red target threshold]]*0.5</f>
        <v>0</v>
      </c>
      <c r="S377" s="375"/>
      <c r="T377" s="396"/>
    </row>
    <row r="378" spans="1:21" x14ac:dyDescent="0.25">
      <c r="A378" s="390"/>
      <c r="B378" s="369"/>
      <c r="C378" s="369"/>
      <c r="D378" s="378" t="s">
        <v>682</v>
      </c>
      <c r="E378" s="379">
        <v>8.4740000000000002</v>
      </c>
      <c r="F378" s="380">
        <v>7.7779999999999996</v>
      </c>
      <c r="G378" s="381">
        <v>9.1319999999999997</v>
      </c>
      <c r="H378" s="421">
        <v>2017</v>
      </c>
      <c r="I378" s="375">
        <v>9.1319999999999997</v>
      </c>
      <c r="J378" s="375"/>
      <c r="K378" s="375"/>
      <c r="L378" s="375">
        <f>Table146[[#This Row],[Green target threshold]]+Table146[[#This Row],[Green target threshold]]*0.5</f>
        <v>0</v>
      </c>
      <c r="M378" s="375"/>
      <c r="N378" s="375"/>
      <c r="O378" s="375"/>
      <c r="P378" s="375"/>
      <c r="Q378" s="375"/>
      <c r="R378" s="375">
        <f>Table146[[#This Row],[Red target threshold]]-Table146[[#This Row],[Red target threshold]]*0.5</f>
        <v>0</v>
      </c>
      <c r="S378" s="375"/>
      <c r="T378" s="396"/>
    </row>
    <row r="379" spans="1:21" x14ac:dyDescent="0.25">
      <c r="A379" s="390"/>
      <c r="B379" s="369"/>
      <c r="C379" s="369"/>
      <c r="D379" s="378" t="s">
        <v>832</v>
      </c>
      <c r="E379" s="379">
        <v>6.2329999999999997</v>
      </c>
      <c r="F379" s="380">
        <v>8.7780000000000005</v>
      </c>
      <c r="G379" s="381">
        <v>9.0090000000000003</v>
      </c>
      <c r="H379" s="421">
        <v>2017</v>
      </c>
      <c r="I379" s="375">
        <v>9.0090000000000003</v>
      </c>
      <c r="J379" s="375"/>
      <c r="K379" s="375"/>
      <c r="L379" s="375">
        <f>Table146[[#This Row],[Green target threshold]]+Table146[[#This Row],[Green target threshold]]*0.5</f>
        <v>0</v>
      </c>
      <c r="M379" s="375"/>
      <c r="N379" s="375"/>
      <c r="O379" s="375"/>
      <c r="P379" s="375"/>
      <c r="Q379" s="375"/>
      <c r="R379" s="375">
        <f>Table146[[#This Row],[Red target threshold]]-Table146[[#This Row],[Red target threshold]]*0.5</f>
        <v>0</v>
      </c>
      <c r="S379" s="375"/>
      <c r="T379" s="396"/>
    </row>
    <row r="380" spans="1:21" x14ac:dyDescent="0.25">
      <c r="A380" s="390"/>
      <c r="B380" s="369"/>
      <c r="C380" s="369"/>
      <c r="D380" s="378" t="s">
        <v>669</v>
      </c>
      <c r="E380" s="379">
        <v>4</v>
      </c>
      <c r="F380" s="380">
        <v>4</v>
      </c>
      <c r="G380" s="381">
        <v>6</v>
      </c>
      <c r="H380" s="421">
        <v>2017</v>
      </c>
      <c r="I380" s="375">
        <v>6</v>
      </c>
      <c r="J380" s="375"/>
      <c r="K380" s="375"/>
      <c r="L380" s="375">
        <f>Table146[[#This Row],[Green target threshold]]+Table146[[#This Row],[Green target threshold]]*0.5</f>
        <v>0</v>
      </c>
      <c r="M380" s="375"/>
      <c r="N380" s="375"/>
      <c r="O380" s="375"/>
      <c r="P380" s="375"/>
      <c r="Q380" s="375"/>
      <c r="R380" s="375">
        <f>Table146[[#This Row],[Red target threshold]]-Table146[[#This Row],[Red target threshold]]*0.5</f>
        <v>0</v>
      </c>
      <c r="S380" s="375"/>
      <c r="T380" s="396"/>
    </row>
    <row r="381" spans="1:21" x14ac:dyDescent="0.25">
      <c r="A381" s="390"/>
      <c r="B381" s="369"/>
      <c r="C381" s="369"/>
      <c r="D381" s="378" t="s">
        <v>772</v>
      </c>
      <c r="E381" s="382">
        <v>0.192</v>
      </c>
      <c r="F381" s="383">
        <v>-0.19700000000000001</v>
      </c>
      <c r="G381" s="384">
        <v>-0.57399999999999995</v>
      </c>
      <c r="H381" s="421">
        <v>2017</v>
      </c>
      <c r="I381" s="375">
        <v>-0.57399999999999995</v>
      </c>
      <c r="J381" s="375"/>
      <c r="K381" s="375"/>
      <c r="L381" s="375">
        <f>Table146[[#This Row],[Green target threshold]]+Table146[[#This Row],[Green target threshold]]*0.5</f>
        <v>0</v>
      </c>
      <c r="M381" s="375"/>
      <c r="N381" s="375"/>
      <c r="O381" s="375"/>
      <c r="P381" s="375"/>
      <c r="Q381" s="375"/>
      <c r="R381" s="375">
        <f>Table146[[#This Row],[Red target threshold]]-Table146[[#This Row],[Red target threshold]]*0.5</f>
        <v>0</v>
      </c>
      <c r="S381" s="375"/>
      <c r="T381" s="396"/>
    </row>
    <row r="382" spans="1:21" x14ac:dyDescent="0.25">
      <c r="A382" s="390"/>
      <c r="B382" s="369"/>
      <c r="C382" s="369"/>
      <c r="D382" s="378" t="s">
        <v>824</v>
      </c>
      <c r="E382" s="382">
        <v>-1</v>
      </c>
      <c r="F382" s="383">
        <v>-4</v>
      </c>
      <c r="G382" s="384">
        <v>-1</v>
      </c>
      <c r="H382" s="421">
        <v>2017</v>
      </c>
      <c r="I382" s="375">
        <v>-1</v>
      </c>
      <c r="J382" s="375"/>
      <c r="K382" s="375"/>
      <c r="L382" s="375">
        <f>Table146[[#This Row],[Green target threshold]]+Table146[[#This Row],[Green target threshold]]*0.5</f>
        <v>0</v>
      </c>
      <c r="M382" s="375"/>
      <c r="N382" s="375"/>
      <c r="O382" s="375"/>
      <c r="P382" s="375"/>
      <c r="Q382" s="375"/>
      <c r="R382" s="375">
        <f>Table146[[#This Row],[Red target threshold]]-Table146[[#This Row],[Red target threshold]]*0.5</f>
        <v>0</v>
      </c>
      <c r="S382" s="375"/>
      <c r="T382" s="396"/>
    </row>
    <row r="383" spans="1:21" x14ac:dyDescent="0.25">
      <c r="A383" s="390"/>
      <c r="B383" s="369"/>
      <c r="C383" s="369"/>
      <c r="D383" s="378" t="s">
        <v>720</v>
      </c>
      <c r="E383" s="382">
        <v>-2</v>
      </c>
      <c r="F383" s="383">
        <v>-3</v>
      </c>
      <c r="G383" s="384">
        <v>-5</v>
      </c>
      <c r="H383" s="421">
        <v>2017</v>
      </c>
      <c r="I383" s="375">
        <v>-5</v>
      </c>
      <c r="J383" s="375"/>
      <c r="K383" s="375"/>
      <c r="L383" s="375">
        <f>Table146[[#This Row],[Green target threshold]]+Table146[[#This Row],[Green target threshold]]*0.5</f>
        <v>0</v>
      </c>
      <c r="M383" s="375"/>
      <c r="N383" s="375"/>
      <c r="O383" s="375"/>
      <c r="P383" s="375"/>
      <c r="Q383" s="375"/>
      <c r="R383" s="375">
        <f>Table146[[#This Row],[Red target threshold]]-Table146[[#This Row],[Red target threshold]]*0.5</f>
        <v>0</v>
      </c>
      <c r="S383" s="375"/>
      <c r="T383" s="396"/>
    </row>
    <row r="384" spans="1:21" x14ac:dyDescent="0.25">
      <c r="A384" s="390"/>
      <c r="B384" s="369"/>
      <c r="C384" s="369"/>
      <c r="D384" s="378" t="s">
        <v>827</v>
      </c>
      <c r="E384" s="382">
        <v>-1</v>
      </c>
      <c r="F384" s="383">
        <v>-3</v>
      </c>
      <c r="G384" s="384">
        <v>-5</v>
      </c>
      <c r="H384" s="421">
        <v>2017</v>
      </c>
      <c r="I384" s="375">
        <v>-5</v>
      </c>
      <c r="J384" s="375"/>
      <c r="K384" s="375"/>
      <c r="L384" s="375">
        <f>Table146[[#This Row],[Green target threshold]]+Table146[[#This Row],[Green target threshold]]*0.5</f>
        <v>0</v>
      </c>
      <c r="M384" s="375"/>
      <c r="N384" s="375"/>
      <c r="O384" s="375"/>
      <c r="P384" s="375"/>
      <c r="Q384" s="375"/>
      <c r="R384" s="375">
        <f>Table146[[#This Row],[Red target threshold]]-Table146[[#This Row],[Red target threshold]]*0.5</f>
        <v>0</v>
      </c>
      <c r="S384" s="375"/>
      <c r="T384" s="396"/>
    </row>
    <row r="385" spans="1:23" x14ac:dyDescent="0.25">
      <c r="A385" s="390"/>
      <c r="B385" s="369"/>
      <c r="C385" s="369"/>
      <c r="D385" s="378" t="s">
        <v>833</v>
      </c>
      <c r="E385" s="382">
        <v>-5</v>
      </c>
      <c r="F385" s="383">
        <v>-7</v>
      </c>
      <c r="G385" s="384">
        <v>-6</v>
      </c>
      <c r="H385" s="421">
        <v>2017</v>
      </c>
      <c r="I385" s="375">
        <v>-6</v>
      </c>
      <c r="J385" s="375"/>
      <c r="K385" s="375"/>
      <c r="L385" s="375">
        <f>Table146[[#This Row],[Green target threshold]]+Table146[[#This Row],[Green target threshold]]*0.5</f>
        <v>0</v>
      </c>
      <c r="M385" s="375"/>
      <c r="N385" s="375"/>
      <c r="O385" s="375"/>
      <c r="P385" s="375"/>
      <c r="Q385" s="375"/>
      <c r="R385" s="375">
        <f>Table146[[#This Row],[Red target threshold]]-Table146[[#This Row],[Red target threshold]]*0.5</f>
        <v>0</v>
      </c>
      <c r="S385" s="375"/>
      <c r="T385" s="396"/>
    </row>
    <row r="386" spans="1:23" s="386" customFormat="1" x14ac:dyDescent="0.25">
      <c r="A386" s="409"/>
      <c r="B386" s="406"/>
      <c r="C386" s="406"/>
      <c r="D386" s="406"/>
      <c r="E386" s="407">
        <v>2012</v>
      </c>
      <c r="F386" s="407">
        <v>2013</v>
      </c>
      <c r="G386" s="407">
        <v>2014</v>
      </c>
      <c r="H386" s="407"/>
      <c r="I386" s="407"/>
      <c r="J386" s="407"/>
      <c r="K386" s="407"/>
      <c r="L386" s="407">
        <f>Table146[[#This Row],[Green target threshold]]+Table146[[#This Row],[Green target threshold]]*0.5</f>
        <v>0</v>
      </c>
      <c r="M386" s="407"/>
      <c r="N386" s="407"/>
      <c r="O386" s="407"/>
      <c r="P386" s="407"/>
      <c r="Q386" s="407"/>
      <c r="R386" s="407">
        <f>Table146[[#This Row],[Red target threshold]]-Table146[[#This Row],[Red target threshold]]*0.5</f>
        <v>0</v>
      </c>
      <c r="S386" s="407"/>
      <c r="T386" s="413"/>
    </row>
    <row r="387" spans="1:23" x14ac:dyDescent="0.25">
      <c r="A387" s="418" t="s">
        <v>608</v>
      </c>
      <c r="B387" s="438" t="s">
        <v>1136</v>
      </c>
      <c r="C387" s="437" t="s">
        <v>1137</v>
      </c>
      <c r="D387" s="436" t="s">
        <v>904</v>
      </c>
      <c r="E387" s="420">
        <v>393.01599270000003</v>
      </c>
      <c r="F387" s="420">
        <v>395.72497929999997</v>
      </c>
      <c r="G387" s="420">
        <v>397.5469769</v>
      </c>
      <c r="H387" s="421">
        <v>2014</v>
      </c>
      <c r="I387" s="421">
        <v>397.5469769</v>
      </c>
      <c r="J387" s="421">
        <v>2015</v>
      </c>
      <c r="K387" s="430">
        <v>403.03300000000002</v>
      </c>
      <c r="L387" s="430">
        <f>Table146[[#This Row],[Green target threshold]]-Table146[[#This Row],[Green target threshold]]*0.5</f>
        <v>208.8400294117647</v>
      </c>
      <c r="M387" s="430">
        <f>Table146[[#This Row],[Model reference value]]+((480-397)/85)*15</f>
        <v>417.68005882352941</v>
      </c>
      <c r="N387" s="430"/>
      <c r="O387" s="430" t="s">
        <v>985</v>
      </c>
      <c r="P387" s="430">
        <f>Table146[[#This Row],[Model reference value]]+((580-403)/85)*15</f>
        <v>434.26829411764709</v>
      </c>
      <c r="Q387" s="430">
        <f>Table146[[#This Row],[Model reference value]]+((650-403)/85)*15</f>
        <v>446.62123529411764</v>
      </c>
      <c r="R387" s="430">
        <f>Table146[[#This Row],[Red target threshold]]+Table146[[#This Row],[Red target threshold]]*0.5</f>
        <v>669.93185294117643</v>
      </c>
      <c r="S387" s="430" t="s">
        <v>1138</v>
      </c>
      <c r="T387" s="411"/>
      <c r="U387" s="377" t="s">
        <v>873</v>
      </c>
      <c r="V387" s="377" t="s">
        <v>874</v>
      </c>
    </row>
    <row r="388" spans="1:23" x14ac:dyDescent="0.25">
      <c r="A388" s="390"/>
      <c r="B388" s="369"/>
      <c r="C388" s="369"/>
      <c r="D388" s="372"/>
      <c r="E388" s="379"/>
      <c r="F388" s="380"/>
      <c r="G388" s="381"/>
      <c r="H388" s="375"/>
      <c r="I388" s="375"/>
      <c r="J388" s="375"/>
      <c r="K388" s="375"/>
      <c r="L388" s="431">
        <f>Table146[[#This Row],[Green target threshold]]+Table146[[#This Row],[Green target threshold]]*0.5</f>
        <v>0</v>
      </c>
      <c r="M388" s="375"/>
      <c r="N388" s="375"/>
      <c r="O388" s="375"/>
      <c r="P388" s="431"/>
      <c r="Q388" s="431"/>
      <c r="R388" s="431">
        <f>Table146[[#This Row],[Red target threshold]]-Table146[[#This Row],[Red target threshold]]*0.5</f>
        <v>0</v>
      </c>
      <c r="S388" s="375"/>
      <c r="T388" s="396"/>
      <c r="U388" s="377"/>
      <c r="V388" s="377"/>
    </row>
    <row r="389" spans="1:23" x14ac:dyDescent="0.25">
      <c r="A389" s="390"/>
      <c r="B389" s="369"/>
      <c r="C389" s="369"/>
      <c r="D389" s="372"/>
      <c r="E389" s="379"/>
      <c r="F389" s="380"/>
      <c r="G389" s="381"/>
      <c r="H389" s="375"/>
      <c r="I389" s="375"/>
      <c r="J389" s="375"/>
      <c r="K389" s="375"/>
      <c r="L389" s="431">
        <f>Table146[[#This Row],[Green target threshold]]+Table146[[#This Row],[Green target threshold]]*0.5</f>
        <v>0</v>
      </c>
      <c r="M389" s="375"/>
      <c r="N389" s="375"/>
      <c r="O389" s="375"/>
      <c r="P389" s="431"/>
      <c r="Q389" s="431"/>
      <c r="R389" s="431">
        <f>Table146[[#This Row],[Red target threshold]]-Table146[[#This Row],[Red target threshold]]*0.5</f>
        <v>0</v>
      </c>
      <c r="S389" s="375"/>
      <c r="T389" s="396"/>
      <c r="U389" s="377"/>
      <c r="V389" s="377"/>
    </row>
    <row r="390" spans="1:23" x14ac:dyDescent="0.25">
      <c r="A390" s="390"/>
      <c r="B390" s="369"/>
      <c r="C390" s="369"/>
      <c r="D390" s="372"/>
      <c r="E390" s="379"/>
      <c r="F390" s="380"/>
      <c r="G390" s="381"/>
      <c r="H390" s="375"/>
      <c r="I390" s="375"/>
      <c r="J390" s="375"/>
      <c r="K390" s="375"/>
      <c r="L390" s="431">
        <f>Table146[[#This Row],[Green target threshold]]+Table146[[#This Row],[Green target threshold]]*0.5</f>
        <v>0</v>
      </c>
      <c r="M390" s="375"/>
      <c r="N390" s="375"/>
      <c r="O390" s="375"/>
      <c r="P390" s="431"/>
      <c r="Q390" s="431"/>
      <c r="R390" s="431">
        <f>Table146[[#This Row],[Red target threshold]]-Table146[[#This Row],[Red target threshold]]*0.5</f>
        <v>0</v>
      </c>
      <c r="S390" s="375"/>
      <c r="T390" s="396"/>
      <c r="U390" s="377"/>
      <c r="V390" s="377"/>
    </row>
    <row r="391" spans="1:23" x14ac:dyDescent="0.25">
      <c r="A391" s="390"/>
      <c r="B391" s="369"/>
      <c r="C391" s="369"/>
      <c r="D391" s="372"/>
      <c r="E391" s="379"/>
      <c r="F391" s="380"/>
      <c r="G391" s="381"/>
      <c r="H391" s="375"/>
      <c r="I391" s="375"/>
      <c r="J391" s="375"/>
      <c r="K391" s="375"/>
      <c r="L391" s="431">
        <f>Table146[[#This Row],[Green target threshold]]+Table146[[#This Row],[Green target threshold]]*0.5</f>
        <v>0</v>
      </c>
      <c r="M391" s="375"/>
      <c r="N391" s="375"/>
      <c r="O391" s="375"/>
      <c r="P391" s="431"/>
      <c r="Q391" s="431"/>
      <c r="R391" s="431">
        <f>Table146[[#This Row],[Red target threshold]]-Table146[[#This Row],[Red target threshold]]*0.5</f>
        <v>0</v>
      </c>
      <c r="S391" s="375"/>
      <c r="T391" s="396"/>
      <c r="U391" s="377">
        <v>1</v>
      </c>
      <c r="V391" s="377"/>
    </row>
    <row r="392" spans="1:23" x14ac:dyDescent="0.25">
      <c r="A392" s="390"/>
      <c r="B392" s="369"/>
      <c r="C392" s="369"/>
      <c r="D392" s="372"/>
      <c r="E392" s="379"/>
      <c r="F392" s="380"/>
      <c r="G392" s="381"/>
      <c r="H392" s="375"/>
      <c r="I392" s="375"/>
      <c r="J392" s="375"/>
      <c r="K392" s="375"/>
      <c r="L392" s="431">
        <f>Table146[[#This Row],[Green target threshold]]+Table146[[#This Row],[Green target threshold]]*0.5</f>
        <v>0</v>
      </c>
      <c r="M392" s="375"/>
      <c r="N392" s="375"/>
      <c r="O392" s="375"/>
      <c r="P392" s="431"/>
      <c r="Q392" s="431"/>
      <c r="R392" s="431">
        <f>Table146[[#This Row],[Red target threshold]]-Table146[[#This Row],[Red target threshold]]*0.5</f>
        <v>0</v>
      </c>
      <c r="S392" s="375"/>
      <c r="T392" s="396"/>
      <c r="U392" s="377">
        <v>0.60641100000000003</v>
      </c>
      <c r="V392" s="377"/>
      <c r="W392" s="360">
        <f>1/0.606411</f>
        <v>1.6490466037060671</v>
      </c>
    </row>
    <row r="393" spans="1:23" x14ac:dyDescent="0.25">
      <c r="A393" s="390"/>
      <c r="B393" s="369"/>
      <c r="C393" s="369"/>
      <c r="D393" s="372"/>
      <c r="E393" s="382"/>
      <c r="F393" s="383"/>
      <c r="G393" s="384"/>
      <c r="H393" s="375"/>
      <c r="I393" s="375"/>
      <c r="J393" s="375"/>
      <c r="K393" s="375"/>
      <c r="L393" s="431">
        <f>Table146[[#This Row],[Green target threshold]]+Table146[[#This Row],[Green target threshold]]*0.5</f>
        <v>0</v>
      </c>
      <c r="M393" s="375"/>
      <c r="N393" s="375"/>
      <c r="O393" s="375"/>
      <c r="P393" s="431"/>
      <c r="Q393" s="431"/>
      <c r="R393" s="431">
        <f>Table146[[#This Row],[Red target threshold]]-Table146[[#This Row],[Red target threshold]]*0.5</f>
        <v>0</v>
      </c>
      <c r="S393" s="375"/>
      <c r="T393" s="396"/>
      <c r="U393" s="377"/>
      <c r="V393" s="377"/>
    </row>
    <row r="394" spans="1:23" x14ac:dyDescent="0.25">
      <c r="A394" s="390"/>
      <c r="B394" s="369"/>
      <c r="C394" s="369"/>
      <c r="D394" s="372"/>
      <c r="E394" s="382"/>
      <c r="F394" s="383"/>
      <c r="G394" s="384"/>
      <c r="H394" s="375"/>
      <c r="I394" s="375"/>
      <c r="J394" s="375"/>
      <c r="K394" s="375"/>
      <c r="L394" s="431">
        <f>Table146[[#This Row],[Green target threshold]]+Table146[[#This Row],[Green target threshold]]*0.5</f>
        <v>0</v>
      </c>
      <c r="M394" s="375"/>
      <c r="N394" s="375"/>
      <c r="O394" s="375"/>
      <c r="P394" s="431"/>
      <c r="Q394" s="431"/>
      <c r="R394" s="431">
        <f>Table146[[#This Row],[Red target threshold]]-Table146[[#This Row],[Red target threshold]]*0.5</f>
        <v>0</v>
      </c>
      <c r="S394" s="375"/>
      <c r="T394" s="396"/>
      <c r="U394" s="377"/>
      <c r="V394" s="377"/>
    </row>
    <row r="395" spans="1:23" x14ac:dyDescent="0.25">
      <c r="A395" s="390"/>
      <c r="B395" s="369"/>
      <c r="C395" s="369"/>
      <c r="D395" s="372"/>
      <c r="E395" s="382"/>
      <c r="F395" s="383"/>
      <c r="G395" s="384"/>
      <c r="H395" s="375"/>
      <c r="I395" s="375"/>
      <c r="J395" s="375"/>
      <c r="K395" s="375"/>
      <c r="L395" s="431">
        <f>Table146[[#This Row],[Green target threshold]]+Table146[[#This Row],[Green target threshold]]*0.5</f>
        <v>0</v>
      </c>
      <c r="M395" s="375"/>
      <c r="N395" s="375"/>
      <c r="O395" s="375"/>
      <c r="P395" s="431"/>
      <c r="Q395" s="431"/>
      <c r="R395" s="431">
        <f>Table146[[#This Row],[Red target threshold]]-Table146[[#This Row],[Red target threshold]]*0.5</f>
        <v>0</v>
      </c>
      <c r="S395" s="375"/>
      <c r="T395" s="396"/>
      <c r="U395" s="377"/>
      <c r="V395" s="377"/>
    </row>
    <row r="396" spans="1:23" x14ac:dyDescent="0.25">
      <c r="A396" s="390"/>
      <c r="B396" s="369"/>
      <c r="C396" s="369"/>
      <c r="D396" s="372"/>
      <c r="E396" s="382"/>
      <c r="F396" s="383"/>
      <c r="G396" s="384"/>
      <c r="H396" s="375"/>
      <c r="I396" s="375"/>
      <c r="J396" s="375"/>
      <c r="K396" s="375"/>
      <c r="L396" s="431">
        <f>Table146[[#This Row],[Green target threshold]]+Table146[[#This Row],[Green target threshold]]*0.5</f>
        <v>0</v>
      </c>
      <c r="M396" s="375"/>
      <c r="N396" s="375"/>
      <c r="O396" s="375"/>
      <c r="P396" s="431"/>
      <c r="Q396" s="431"/>
      <c r="R396" s="431">
        <f>Table146[[#This Row],[Red target threshold]]-Table146[[#This Row],[Red target threshold]]*0.5</f>
        <v>0</v>
      </c>
      <c r="S396" s="375"/>
      <c r="T396" s="396"/>
      <c r="U396" s="377"/>
      <c r="V396" s="377"/>
    </row>
    <row r="397" spans="1:23" x14ac:dyDescent="0.25">
      <c r="A397" s="390"/>
      <c r="B397" s="369"/>
      <c r="C397" s="369"/>
      <c r="D397" s="372"/>
      <c r="E397" s="382"/>
      <c r="F397" s="383"/>
      <c r="G397" s="384"/>
      <c r="H397" s="375"/>
      <c r="I397" s="375"/>
      <c r="J397" s="375"/>
      <c r="K397" s="375"/>
      <c r="L397" s="431">
        <f>Table146[[#This Row],[Green target threshold]]+Table146[[#This Row],[Green target threshold]]*0.5</f>
        <v>0</v>
      </c>
      <c r="M397" s="375"/>
      <c r="N397" s="375"/>
      <c r="O397" s="375"/>
      <c r="P397" s="431"/>
      <c r="Q397" s="431"/>
      <c r="R397" s="431">
        <f>Table146[[#This Row],[Red target threshold]]-Table146[[#This Row],[Red target threshold]]*0.5</f>
        <v>0</v>
      </c>
      <c r="S397" s="375"/>
      <c r="T397" s="396"/>
      <c r="U397" s="377"/>
      <c r="V397" s="377"/>
    </row>
    <row r="398" spans="1:23" x14ac:dyDescent="0.25">
      <c r="A398" s="409"/>
      <c r="B398" s="406"/>
      <c r="C398" s="406"/>
      <c r="D398" s="406"/>
      <c r="E398" s="407">
        <v>2015</v>
      </c>
      <c r="F398" s="407">
        <v>2016</v>
      </c>
      <c r="G398" s="407">
        <v>2017</v>
      </c>
      <c r="H398" s="407"/>
      <c r="I398" s="407"/>
      <c r="J398" s="407"/>
      <c r="K398" s="407"/>
      <c r="L398" s="407">
        <f>Table146[[#This Row],[Green target threshold]]+Table146[[#This Row],[Green target threshold]]*0.5</f>
        <v>0</v>
      </c>
      <c r="M398" s="407"/>
      <c r="N398" s="407"/>
      <c r="O398" s="407"/>
      <c r="P398" s="407"/>
      <c r="Q398" s="407"/>
      <c r="R398" s="407">
        <f>Table146[[#This Row],[Red target threshold]]-Table146[[#This Row],[Red target threshold]]*0.5</f>
        <v>0</v>
      </c>
      <c r="S398" s="407"/>
      <c r="T398" s="413"/>
      <c r="U398" s="377"/>
      <c r="V398" s="377"/>
    </row>
    <row r="399" spans="1:23" x14ac:dyDescent="0.25">
      <c r="A399" s="418" t="s">
        <v>1102</v>
      </c>
      <c r="B399" s="437" t="s">
        <v>1107</v>
      </c>
      <c r="C399" s="437" t="s">
        <v>1101</v>
      </c>
      <c r="D399" s="436" t="s">
        <v>904</v>
      </c>
      <c r="E399" s="420">
        <v>4211322924.72716</v>
      </c>
      <c r="F399" s="420">
        <v>3473456846.8239088</v>
      </c>
      <c r="G399" s="420">
        <v>3473456846.8239088</v>
      </c>
      <c r="H399" s="421">
        <v>2015</v>
      </c>
      <c r="I399" s="421">
        <v>4211322924.72716</v>
      </c>
      <c r="J399" s="421">
        <v>2015</v>
      </c>
      <c r="K399" s="411">
        <f>4.48117*1000000000</f>
        <v>4481170000</v>
      </c>
      <c r="L399" s="411">
        <f>Table146[[#This Row],[Green target threshold]]-Table146[[#This Row],[Green target threshold]]*0.5</f>
        <v>1684529169.8908639</v>
      </c>
      <c r="M399" s="421">
        <f>Table146[[#This Row],[Data reference value]]+Table146[[#This Row],[Data reference value]]*Table146[[#This Row],[Improvement rate]]</f>
        <v>3369058339.7817278</v>
      </c>
      <c r="N399" s="421">
        <v>-0.2</v>
      </c>
      <c r="O399" s="421" t="s">
        <v>1140</v>
      </c>
      <c r="P399" s="421">
        <f>(Table146[[#This Row],[Green target threshold]]-Table146[[#This Row],[Model reference value]])*0.5+Table146[[#This Row],[Model reference value]]</f>
        <v>3925114169.8908639</v>
      </c>
      <c r="Q399" s="421">
        <f>Table146[[#This Row],[Model reference value]]</f>
        <v>4481170000</v>
      </c>
      <c r="R399" s="421">
        <f>Table146[[#This Row],[Red target threshold]]+Table146[[#This Row],[Red target threshold]]*0.5</f>
        <v>6721755000</v>
      </c>
      <c r="S399" s="421"/>
      <c r="T399" s="371" t="s">
        <v>1103</v>
      </c>
      <c r="U399" s="377"/>
      <c r="V399" s="377"/>
    </row>
    <row r="400" spans="1:23" x14ac:dyDescent="0.25">
      <c r="A400" s="390"/>
      <c r="B400" s="369"/>
      <c r="C400" s="369"/>
      <c r="D400" s="369"/>
      <c r="E400" s="379"/>
      <c r="F400" s="380"/>
      <c r="G400" s="381"/>
      <c r="H400" s="421"/>
      <c r="I400" s="375"/>
      <c r="J400" s="375"/>
      <c r="K400" s="375"/>
      <c r="L400" s="375"/>
      <c r="M400" s="375"/>
      <c r="N400" s="375"/>
      <c r="O400" s="375"/>
      <c r="P400" s="375"/>
      <c r="Q400" s="375"/>
      <c r="R400" s="375"/>
      <c r="S400" s="375"/>
      <c r="T400" s="396"/>
      <c r="U400" s="377"/>
      <c r="V400" s="377"/>
    </row>
    <row r="401" spans="1:22" x14ac:dyDescent="0.25">
      <c r="A401" s="390"/>
      <c r="B401" s="369"/>
      <c r="C401" s="369"/>
      <c r="D401" s="369"/>
      <c r="E401" s="379"/>
      <c r="F401" s="380"/>
      <c r="G401" s="381"/>
      <c r="H401" s="421"/>
      <c r="I401" s="375"/>
      <c r="J401" s="375"/>
      <c r="K401" s="375"/>
      <c r="L401" s="375"/>
      <c r="M401" s="375"/>
      <c r="N401" s="375"/>
      <c r="O401" s="375"/>
      <c r="P401" s="375"/>
      <c r="Q401" s="375"/>
      <c r="R401" s="375"/>
      <c r="S401" s="375"/>
      <c r="T401" s="396"/>
      <c r="U401" s="377"/>
      <c r="V401" s="377"/>
    </row>
    <row r="402" spans="1:22" x14ac:dyDescent="0.25">
      <c r="A402" s="390"/>
      <c r="B402" s="369"/>
      <c r="C402" s="369"/>
      <c r="D402" s="369"/>
      <c r="E402" s="379"/>
      <c r="F402" s="380"/>
      <c r="G402" s="381"/>
      <c r="H402" s="421"/>
      <c r="I402" s="375"/>
      <c r="J402" s="375"/>
      <c r="K402" s="375"/>
      <c r="L402" s="375"/>
      <c r="M402" s="375"/>
      <c r="N402" s="375"/>
      <c r="O402" s="375"/>
      <c r="P402" s="375"/>
      <c r="Q402" s="375"/>
      <c r="R402" s="375"/>
      <c r="S402" s="375"/>
      <c r="T402" s="396"/>
      <c r="U402" s="377"/>
      <c r="V402" s="377"/>
    </row>
    <row r="403" spans="1:22" x14ac:dyDescent="0.25">
      <c r="A403" s="390"/>
      <c r="B403" s="369"/>
      <c r="C403" s="369"/>
      <c r="D403" s="369"/>
      <c r="E403" s="379"/>
      <c r="F403" s="380"/>
      <c r="G403" s="381"/>
      <c r="H403" s="421"/>
      <c r="I403" s="375"/>
      <c r="J403" s="375"/>
      <c r="K403" s="375"/>
      <c r="L403" s="375"/>
      <c r="M403" s="375"/>
      <c r="N403" s="375"/>
      <c r="O403" s="375"/>
      <c r="P403" s="375"/>
      <c r="Q403" s="375"/>
      <c r="R403" s="375"/>
      <c r="S403" s="375"/>
      <c r="T403" s="396"/>
      <c r="U403" s="377"/>
      <c r="V403" s="377"/>
    </row>
    <row r="404" spans="1:22" x14ac:dyDescent="0.25">
      <c r="A404" s="390"/>
      <c r="B404" s="369"/>
      <c r="C404" s="369"/>
      <c r="D404" s="369"/>
      <c r="E404" s="379"/>
      <c r="F404" s="380"/>
      <c r="G404" s="381"/>
      <c r="H404" s="421"/>
      <c r="I404" s="375"/>
      <c r="J404" s="375"/>
      <c r="K404" s="375"/>
      <c r="L404" s="375"/>
      <c r="M404" s="375"/>
      <c r="N404" s="375"/>
      <c r="O404" s="375"/>
      <c r="P404" s="375"/>
      <c r="Q404" s="375"/>
      <c r="R404" s="375"/>
      <c r="S404" s="375"/>
      <c r="T404" s="396"/>
      <c r="U404" s="377"/>
      <c r="V404" s="377"/>
    </row>
    <row r="405" spans="1:22" x14ac:dyDescent="0.25">
      <c r="A405" s="390"/>
      <c r="B405" s="369"/>
      <c r="C405" s="369"/>
      <c r="D405" s="369"/>
      <c r="E405" s="382"/>
      <c r="F405" s="383"/>
      <c r="G405" s="384"/>
      <c r="H405" s="421"/>
      <c r="I405" s="375"/>
      <c r="J405" s="375"/>
      <c r="K405" s="375"/>
      <c r="L405" s="375"/>
      <c r="M405" s="375"/>
      <c r="N405" s="375"/>
      <c r="O405" s="375"/>
      <c r="P405" s="375"/>
      <c r="Q405" s="375"/>
      <c r="R405" s="375"/>
      <c r="S405" s="375"/>
      <c r="T405" s="396"/>
      <c r="U405" s="377"/>
      <c r="V405" s="377"/>
    </row>
    <row r="406" spans="1:22" x14ac:dyDescent="0.25">
      <c r="A406" s="390"/>
      <c r="B406" s="369"/>
      <c r="C406" s="369"/>
      <c r="D406" s="369"/>
      <c r="E406" s="382"/>
      <c r="F406" s="383"/>
      <c r="G406" s="384"/>
      <c r="H406" s="421"/>
      <c r="I406" s="375"/>
      <c r="J406" s="375"/>
      <c r="K406" s="375"/>
      <c r="L406" s="375"/>
      <c r="M406" s="375"/>
      <c r="N406" s="375"/>
      <c r="O406" s="375"/>
      <c r="P406" s="375"/>
      <c r="Q406" s="375"/>
      <c r="R406" s="375"/>
      <c r="S406" s="375"/>
      <c r="T406" s="396"/>
      <c r="U406" s="377"/>
      <c r="V406" s="377"/>
    </row>
    <row r="407" spans="1:22" x14ac:dyDescent="0.25">
      <c r="A407" s="390"/>
      <c r="B407" s="369"/>
      <c r="C407" s="369"/>
      <c r="D407" s="369"/>
      <c r="E407" s="382"/>
      <c r="F407" s="383"/>
      <c r="G407" s="384"/>
      <c r="H407" s="421"/>
      <c r="I407" s="375"/>
      <c r="J407" s="375"/>
      <c r="K407" s="375"/>
      <c r="L407" s="375"/>
      <c r="M407" s="375"/>
      <c r="N407" s="375"/>
      <c r="O407" s="375"/>
      <c r="P407" s="375"/>
      <c r="Q407" s="375"/>
      <c r="R407" s="375"/>
      <c r="S407" s="375"/>
      <c r="T407" s="396"/>
      <c r="U407" s="377"/>
      <c r="V407" s="377"/>
    </row>
    <row r="408" spans="1:22" x14ac:dyDescent="0.25">
      <c r="A408" s="390"/>
      <c r="B408" s="369"/>
      <c r="C408" s="369"/>
      <c r="D408" s="369"/>
      <c r="E408" s="382"/>
      <c r="F408" s="383"/>
      <c r="G408" s="384"/>
      <c r="H408" s="421"/>
      <c r="I408" s="375"/>
      <c r="J408" s="375"/>
      <c r="K408" s="375"/>
      <c r="L408" s="375"/>
      <c r="M408" s="375"/>
      <c r="N408" s="375"/>
      <c r="O408" s="375"/>
      <c r="P408" s="375"/>
      <c r="Q408" s="375"/>
      <c r="R408" s="375"/>
      <c r="S408" s="375"/>
      <c r="T408" s="396"/>
      <c r="U408" s="377"/>
      <c r="V408" s="377"/>
    </row>
    <row r="409" spans="1:22" x14ac:dyDescent="0.25">
      <c r="A409" s="390"/>
      <c r="B409" s="369"/>
      <c r="C409" s="369"/>
      <c r="D409" s="369"/>
      <c r="E409" s="382"/>
      <c r="F409" s="383"/>
      <c r="G409" s="384"/>
      <c r="H409" s="421"/>
      <c r="I409" s="375"/>
      <c r="J409" s="375"/>
      <c r="K409" s="375"/>
      <c r="L409" s="375"/>
      <c r="M409" s="375"/>
      <c r="N409" s="375"/>
      <c r="O409" s="375"/>
      <c r="P409" s="375"/>
      <c r="Q409" s="375"/>
      <c r="R409" s="375"/>
      <c r="S409" s="375"/>
      <c r="T409" s="396"/>
      <c r="U409" s="377"/>
      <c r="V409" s="377"/>
    </row>
    <row r="410" spans="1:22" s="386" customFormat="1" x14ac:dyDescent="0.25">
      <c r="A410" s="409"/>
      <c r="B410" s="406"/>
      <c r="C410" s="406"/>
      <c r="D410" s="406"/>
      <c r="E410" s="407">
        <v>2015</v>
      </c>
      <c r="F410" s="407">
        <v>2016</v>
      </c>
      <c r="G410" s="407">
        <v>2017</v>
      </c>
      <c r="H410" s="407"/>
      <c r="I410" s="407"/>
      <c r="J410" s="407"/>
      <c r="K410" s="407"/>
      <c r="L410" s="407">
        <f>Table146[[#This Row],[Green target threshold]]+Table146[[#This Row],[Green target threshold]]*0.5</f>
        <v>0</v>
      </c>
      <c r="M410" s="407"/>
      <c r="N410" s="407"/>
      <c r="O410" s="407"/>
      <c r="P410" s="407"/>
      <c r="Q410" s="407"/>
      <c r="R410" s="407">
        <f>Table146[[#This Row],[Red target threshold]]-Table146[[#This Row],[Red target threshold]]*0.5</f>
        <v>0</v>
      </c>
      <c r="S410" s="407"/>
      <c r="T410" s="413"/>
    </row>
    <row r="411" spans="1:22" x14ac:dyDescent="0.25">
      <c r="A411" s="418" t="s">
        <v>640</v>
      </c>
      <c r="B411" s="437" t="s">
        <v>644</v>
      </c>
      <c r="C411" s="437" t="s">
        <v>645</v>
      </c>
      <c r="D411" s="436" t="s">
        <v>904</v>
      </c>
      <c r="E411" s="420">
        <v>0.57065564884860986</v>
      </c>
      <c r="F411" s="420">
        <v>0.46535993918845253</v>
      </c>
      <c r="G411" s="420">
        <v>0.46019101328446049</v>
      </c>
      <c r="H411" s="421">
        <v>2015</v>
      </c>
      <c r="I411" s="421">
        <v>0.57065564884860986</v>
      </c>
      <c r="J411" s="421">
        <v>2015</v>
      </c>
      <c r="K411" s="411">
        <v>0.65505500000000005</v>
      </c>
      <c r="L411" s="411">
        <f>Table146[[#This Row],[Green target threshold]]-Table146[[#This Row],[Green target threshold]]*0.5</f>
        <v>0.22826225953944396</v>
      </c>
      <c r="M411" s="421">
        <f>Table146[[#This Row],[Data reference value]]+Table146[[#This Row],[Data reference value]]*Table146[[#This Row],[Improvement rate]]</f>
        <v>0.45652451907888791</v>
      </c>
      <c r="N411" s="421">
        <v>-0.2</v>
      </c>
      <c r="O411" s="421" t="s">
        <v>1140</v>
      </c>
      <c r="P411" s="421">
        <f>(Table146[[#This Row],[Green target threshold]]-Table146[[#This Row],[Model reference value]])*0.5+Table146[[#This Row],[Model reference value]]</f>
        <v>0.55578975953944398</v>
      </c>
      <c r="Q411" s="421">
        <f>Table146[[#This Row],[Model reference value]]</f>
        <v>0.65505500000000005</v>
      </c>
      <c r="R411" s="421">
        <f>Table146[[#This Row],[Red target threshold]]+Table146[[#This Row],[Red target threshold]]*0.5</f>
        <v>0.98258250000000014</v>
      </c>
      <c r="S411" s="421" t="s">
        <v>1114</v>
      </c>
      <c r="T411" s="371" t="s">
        <v>1103</v>
      </c>
    </row>
    <row r="412" spans="1:22" x14ac:dyDescent="0.25">
      <c r="A412" s="390"/>
      <c r="B412" s="369"/>
      <c r="C412" s="369"/>
      <c r="D412" s="369"/>
      <c r="E412" s="379"/>
      <c r="F412" s="380"/>
      <c r="G412" s="381"/>
      <c r="H412" s="421"/>
      <c r="I412" s="375"/>
      <c r="J412" s="375"/>
      <c r="K412" s="375"/>
      <c r="L412" s="375">
        <f>Table146[[#This Row],[Green target threshold]]+Table146[[#This Row],[Green target threshold]]*0.5</f>
        <v>0</v>
      </c>
      <c r="M412" s="375"/>
      <c r="N412" s="375"/>
      <c r="O412" s="375"/>
      <c r="P412" s="375"/>
      <c r="Q412" s="375"/>
      <c r="R412" s="375">
        <f>Table146[[#This Row],[Red target threshold]]-Table146[[#This Row],[Red target threshold]]*0.5</f>
        <v>0</v>
      </c>
      <c r="S412" s="375"/>
      <c r="T412" s="396"/>
    </row>
    <row r="413" spans="1:22" x14ac:dyDescent="0.25">
      <c r="A413" s="390"/>
      <c r="B413" s="369"/>
      <c r="C413" s="369"/>
      <c r="D413" s="369"/>
      <c r="E413" s="379"/>
      <c r="F413" s="380"/>
      <c r="G413" s="381"/>
      <c r="H413" s="421"/>
      <c r="I413" s="375"/>
      <c r="J413" s="375"/>
      <c r="K413" s="375"/>
      <c r="L413" s="375">
        <f>Table146[[#This Row],[Green target threshold]]+Table146[[#This Row],[Green target threshold]]*0.5</f>
        <v>0</v>
      </c>
      <c r="M413" s="375"/>
      <c r="N413" s="375"/>
      <c r="O413" s="375"/>
      <c r="P413" s="375"/>
      <c r="Q413" s="375"/>
      <c r="R413" s="375">
        <f>Table146[[#This Row],[Red target threshold]]-Table146[[#This Row],[Red target threshold]]*0.5</f>
        <v>0</v>
      </c>
      <c r="S413" s="375"/>
      <c r="T413" s="396"/>
    </row>
    <row r="414" spans="1:22" x14ac:dyDescent="0.25">
      <c r="A414" s="390"/>
      <c r="B414" s="369"/>
      <c r="C414" s="369"/>
      <c r="D414" s="369"/>
      <c r="E414" s="379"/>
      <c r="F414" s="380"/>
      <c r="G414" s="381"/>
      <c r="H414" s="421"/>
      <c r="I414" s="375"/>
      <c r="J414" s="375"/>
      <c r="K414" s="375"/>
      <c r="L414" s="375">
        <f>Table146[[#This Row],[Green target threshold]]+Table146[[#This Row],[Green target threshold]]*0.5</f>
        <v>0</v>
      </c>
      <c r="M414" s="375"/>
      <c r="N414" s="375"/>
      <c r="O414" s="375"/>
      <c r="P414" s="375"/>
      <c r="Q414" s="375"/>
      <c r="R414" s="375">
        <f>Table146[[#This Row],[Red target threshold]]-Table146[[#This Row],[Red target threshold]]*0.5</f>
        <v>0</v>
      </c>
      <c r="S414" s="375"/>
      <c r="T414" s="396"/>
    </row>
    <row r="415" spans="1:22" x14ac:dyDescent="0.25">
      <c r="A415" s="390"/>
      <c r="B415" s="369"/>
      <c r="C415" s="369"/>
      <c r="D415" s="369"/>
      <c r="E415" s="379"/>
      <c r="F415" s="380"/>
      <c r="G415" s="381"/>
      <c r="H415" s="421"/>
      <c r="I415" s="375"/>
      <c r="J415" s="375"/>
      <c r="K415" s="375"/>
      <c r="L415" s="375">
        <f>Table146[[#This Row],[Green target threshold]]+Table146[[#This Row],[Green target threshold]]*0.5</f>
        <v>0</v>
      </c>
      <c r="M415" s="375"/>
      <c r="N415" s="375"/>
      <c r="O415" s="375"/>
      <c r="P415" s="375"/>
      <c r="Q415" s="375"/>
      <c r="R415" s="375">
        <f>Table146[[#This Row],[Red target threshold]]-Table146[[#This Row],[Red target threshold]]*0.5</f>
        <v>0</v>
      </c>
      <c r="S415" s="375"/>
      <c r="T415" s="396"/>
    </row>
    <row r="416" spans="1:22" x14ac:dyDescent="0.25">
      <c r="A416" s="390"/>
      <c r="B416" s="369"/>
      <c r="C416" s="369"/>
      <c r="D416" s="369"/>
      <c r="E416" s="379"/>
      <c r="F416" s="380"/>
      <c r="G416" s="381"/>
      <c r="H416" s="421"/>
      <c r="I416" s="375"/>
      <c r="J416" s="375"/>
      <c r="K416" s="375"/>
      <c r="L416" s="375">
        <f>Table146[[#This Row],[Green target threshold]]+Table146[[#This Row],[Green target threshold]]*0.5</f>
        <v>0</v>
      </c>
      <c r="M416" s="375"/>
      <c r="N416" s="375"/>
      <c r="O416" s="375"/>
      <c r="P416" s="375"/>
      <c r="Q416" s="375"/>
      <c r="R416" s="375">
        <f>Table146[[#This Row],[Red target threshold]]-Table146[[#This Row],[Red target threshold]]*0.5</f>
        <v>0</v>
      </c>
      <c r="S416" s="375"/>
      <c r="T416" s="396"/>
    </row>
    <row r="417" spans="1:22" x14ac:dyDescent="0.25">
      <c r="A417" s="390"/>
      <c r="B417" s="369"/>
      <c r="C417" s="369"/>
      <c r="D417" s="369"/>
      <c r="E417" s="382"/>
      <c r="F417" s="383"/>
      <c r="G417" s="384"/>
      <c r="H417" s="421"/>
      <c r="I417" s="375"/>
      <c r="J417" s="375"/>
      <c r="K417" s="375"/>
      <c r="L417" s="375">
        <f>Table146[[#This Row],[Green target threshold]]+Table146[[#This Row],[Green target threshold]]*0.5</f>
        <v>0</v>
      </c>
      <c r="M417" s="375"/>
      <c r="N417" s="375"/>
      <c r="O417" s="375"/>
      <c r="P417" s="375"/>
      <c r="Q417" s="375"/>
      <c r="R417" s="375">
        <f>Table146[[#This Row],[Red target threshold]]-Table146[[#This Row],[Red target threshold]]*0.5</f>
        <v>0</v>
      </c>
      <c r="S417" s="375"/>
      <c r="T417" s="396"/>
    </row>
    <row r="418" spans="1:22" x14ac:dyDescent="0.25">
      <c r="A418" s="390"/>
      <c r="B418" s="369"/>
      <c r="C418" s="369"/>
      <c r="D418" s="369"/>
      <c r="E418" s="382"/>
      <c r="F418" s="383"/>
      <c r="G418" s="384"/>
      <c r="H418" s="421"/>
      <c r="I418" s="375"/>
      <c r="J418" s="375"/>
      <c r="K418" s="375"/>
      <c r="L418" s="375">
        <f>Table146[[#This Row],[Green target threshold]]+Table146[[#This Row],[Green target threshold]]*0.5</f>
        <v>0</v>
      </c>
      <c r="M418" s="375"/>
      <c r="N418" s="375"/>
      <c r="O418" s="375"/>
      <c r="P418" s="375"/>
      <c r="Q418" s="375"/>
      <c r="R418" s="375">
        <f>Table146[[#This Row],[Red target threshold]]-Table146[[#This Row],[Red target threshold]]*0.5</f>
        <v>0</v>
      </c>
      <c r="S418" s="375"/>
      <c r="T418" s="396"/>
    </row>
    <row r="419" spans="1:22" x14ac:dyDescent="0.25">
      <c r="A419" s="390"/>
      <c r="B419" s="369"/>
      <c r="C419" s="369"/>
      <c r="D419" s="369"/>
      <c r="E419" s="382"/>
      <c r="F419" s="383"/>
      <c r="G419" s="384"/>
      <c r="H419" s="421"/>
      <c r="I419" s="375"/>
      <c r="J419" s="375"/>
      <c r="K419" s="375"/>
      <c r="L419" s="375">
        <f>Table146[[#This Row],[Green target threshold]]+Table146[[#This Row],[Green target threshold]]*0.5</f>
        <v>0</v>
      </c>
      <c r="M419" s="375"/>
      <c r="N419" s="375"/>
      <c r="O419" s="375"/>
      <c r="P419" s="375"/>
      <c r="Q419" s="375"/>
      <c r="R419" s="375">
        <f>Table146[[#This Row],[Red target threshold]]-Table146[[#This Row],[Red target threshold]]*0.5</f>
        <v>0</v>
      </c>
      <c r="S419" s="375"/>
      <c r="T419" s="396"/>
    </row>
    <row r="420" spans="1:22" x14ac:dyDescent="0.25">
      <c r="A420" s="390"/>
      <c r="B420" s="369"/>
      <c r="C420" s="369"/>
      <c r="D420" s="369"/>
      <c r="E420" s="382"/>
      <c r="F420" s="383"/>
      <c r="G420" s="384"/>
      <c r="H420" s="421"/>
      <c r="I420" s="375"/>
      <c r="J420" s="375"/>
      <c r="K420" s="375"/>
      <c r="L420" s="375">
        <f>Table146[[#This Row],[Green target threshold]]+Table146[[#This Row],[Green target threshold]]*0.5</f>
        <v>0</v>
      </c>
      <c r="M420" s="375"/>
      <c r="N420" s="375"/>
      <c r="O420" s="375"/>
      <c r="P420" s="375"/>
      <c r="Q420" s="375"/>
      <c r="R420" s="375">
        <f>Table146[[#This Row],[Red target threshold]]-Table146[[#This Row],[Red target threshold]]*0.5</f>
        <v>0</v>
      </c>
      <c r="S420" s="375"/>
      <c r="T420" s="396"/>
    </row>
    <row r="421" spans="1:22" x14ac:dyDescent="0.25">
      <c r="A421" s="390"/>
      <c r="B421" s="369"/>
      <c r="C421" s="369"/>
      <c r="D421" s="369"/>
      <c r="E421" s="382"/>
      <c r="F421" s="383"/>
      <c r="G421" s="384"/>
      <c r="H421" s="421"/>
      <c r="I421" s="375"/>
      <c r="J421" s="375"/>
      <c r="K421" s="375"/>
      <c r="L421" s="375">
        <f>Table146[[#This Row],[Green target threshold]]+Table146[[#This Row],[Green target threshold]]*0.5</f>
        <v>0</v>
      </c>
      <c r="M421" s="375"/>
      <c r="N421" s="375"/>
      <c r="O421" s="375"/>
      <c r="P421" s="375"/>
      <c r="Q421" s="375"/>
      <c r="R421" s="375">
        <f>Table146[[#This Row],[Red target threshold]]-Table146[[#This Row],[Red target threshold]]*0.5</f>
        <v>0</v>
      </c>
      <c r="S421" s="375"/>
      <c r="T421" s="396"/>
    </row>
    <row r="422" spans="1:22" s="386" customFormat="1" x14ac:dyDescent="0.25">
      <c r="A422" s="409"/>
      <c r="B422" s="406"/>
      <c r="C422" s="406"/>
      <c r="D422" s="406"/>
      <c r="E422" s="407">
        <v>2015</v>
      </c>
      <c r="F422" s="407">
        <v>2016</v>
      </c>
      <c r="G422" s="407">
        <v>2017</v>
      </c>
      <c r="H422" s="407"/>
      <c r="I422" s="407"/>
      <c r="J422" s="407"/>
      <c r="K422" s="407"/>
      <c r="L422" s="407">
        <f>Table146[[#This Row],[Green target threshold]]+Table146[[#This Row],[Green target threshold]]*0.5</f>
        <v>0</v>
      </c>
      <c r="M422" s="407"/>
      <c r="N422" s="407"/>
      <c r="O422" s="407"/>
      <c r="P422" s="407"/>
      <c r="Q422" s="407"/>
      <c r="R422" s="407">
        <f>Table146[[#This Row],[Red target threshold]]-Table146[[#This Row],[Red target threshold]]*0.5</f>
        <v>0</v>
      </c>
      <c r="S422" s="407"/>
      <c r="T422" s="413"/>
    </row>
    <row r="423" spans="1:22" x14ac:dyDescent="0.25">
      <c r="A423" s="418" t="s">
        <v>641</v>
      </c>
      <c r="B423" s="437" t="s">
        <v>1112</v>
      </c>
      <c r="C423" s="437" t="s">
        <v>645</v>
      </c>
      <c r="D423" s="436" t="s">
        <v>904</v>
      </c>
      <c r="E423" s="420">
        <v>0.7883381298190415</v>
      </c>
      <c r="F423" s="420">
        <v>0.78656058603811374</v>
      </c>
      <c r="G423" s="420">
        <v>0.79016088480322133</v>
      </c>
      <c r="H423" s="421">
        <v>2015</v>
      </c>
      <c r="I423" s="421">
        <v>0.7883381298190415</v>
      </c>
      <c r="J423" s="421">
        <v>2015</v>
      </c>
      <c r="K423" s="411">
        <v>0.94756200000000002</v>
      </c>
      <c r="L423" s="411">
        <f>Table146[[#This Row],[Green target threshold]]-Table146[[#This Row],[Green target threshold]]*0.5</f>
        <v>0.31533525192761658</v>
      </c>
      <c r="M423" s="421">
        <f>Table146[[#This Row],[Data reference value]]+Table146[[#This Row],[Data reference value]]*Table146[[#This Row],[Improvement rate]]</f>
        <v>0.63067050385523316</v>
      </c>
      <c r="N423" s="421">
        <v>-0.2</v>
      </c>
      <c r="O423" s="421" t="s">
        <v>1140</v>
      </c>
      <c r="P423" s="421">
        <f>(Table146[[#This Row],[Green target threshold]]-Table146[[#This Row],[Model reference value]])*0.5+Table146[[#This Row],[Model reference value]]</f>
        <v>0.78911625192761659</v>
      </c>
      <c r="Q423" s="421">
        <f>Table146[[#This Row],[Model reference value]]</f>
        <v>0.94756200000000002</v>
      </c>
      <c r="R423" s="421">
        <f>Table146[[#This Row],[Red target threshold]]+Table146[[#This Row],[Red target threshold]]*0.5</f>
        <v>1.421343</v>
      </c>
      <c r="S423" s="421" t="s">
        <v>1113</v>
      </c>
      <c r="T423" s="371" t="s">
        <v>1103</v>
      </c>
      <c r="V423" s="377" t="s">
        <v>932</v>
      </c>
    </row>
    <row r="424" spans="1:22" x14ac:dyDescent="0.25">
      <c r="A424" s="390"/>
      <c r="B424" s="369"/>
      <c r="C424" s="369"/>
      <c r="D424" s="369"/>
      <c r="E424" s="379"/>
      <c r="F424" s="380"/>
      <c r="G424" s="381"/>
      <c r="H424" s="421"/>
      <c r="I424" s="375"/>
      <c r="J424" s="375"/>
      <c r="K424" s="375"/>
      <c r="L424" s="375">
        <f>Table146[[#This Row],[Green target threshold]]+Table146[[#This Row],[Green target threshold]]*0.5</f>
        <v>0</v>
      </c>
      <c r="M424" s="375"/>
      <c r="N424" s="375"/>
      <c r="O424" s="375"/>
      <c r="P424" s="375"/>
      <c r="Q424" s="375"/>
      <c r="R424" s="375">
        <f>Table146[[#This Row],[Red target threshold]]-Table146[[#This Row],[Red target threshold]]*0.5</f>
        <v>0</v>
      </c>
      <c r="S424" s="375"/>
      <c r="T424" s="396"/>
    </row>
    <row r="425" spans="1:22" x14ac:dyDescent="0.25">
      <c r="A425" s="390"/>
      <c r="B425" s="369"/>
      <c r="C425" s="369"/>
      <c r="D425" s="369"/>
      <c r="E425" s="379"/>
      <c r="F425" s="380"/>
      <c r="G425" s="381"/>
      <c r="H425" s="421"/>
      <c r="I425" s="375"/>
      <c r="J425" s="375"/>
      <c r="K425" s="375"/>
      <c r="L425" s="375">
        <f>Table146[[#This Row],[Green target threshold]]+Table146[[#This Row],[Green target threshold]]*0.5</f>
        <v>0</v>
      </c>
      <c r="M425" s="375"/>
      <c r="N425" s="375"/>
      <c r="O425" s="375"/>
      <c r="P425" s="375"/>
      <c r="Q425" s="375"/>
      <c r="R425" s="375">
        <f>Table146[[#This Row],[Red target threshold]]-Table146[[#This Row],[Red target threshold]]*0.5</f>
        <v>0</v>
      </c>
      <c r="S425" s="375"/>
      <c r="T425" s="396"/>
    </row>
    <row r="426" spans="1:22" x14ac:dyDescent="0.25">
      <c r="A426" s="390"/>
      <c r="B426" s="369"/>
      <c r="C426" s="369"/>
      <c r="D426" s="369"/>
      <c r="E426" s="379"/>
      <c r="F426" s="380"/>
      <c r="G426" s="381"/>
      <c r="H426" s="421"/>
      <c r="I426" s="375"/>
      <c r="J426" s="375"/>
      <c r="K426" s="375"/>
      <c r="L426" s="375">
        <f>Table146[[#This Row],[Green target threshold]]+Table146[[#This Row],[Green target threshold]]*0.5</f>
        <v>0</v>
      </c>
      <c r="M426" s="375"/>
      <c r="N426" s="375"/>
      <c r="O426" s="375"/>
      <c r="P426" s="375"/>
      <c r="Q426" s="375"/>
      <c r="R426" s="375">
        <f>Table146[[#This Row],[Red target threshold]]-Table146[[#This Row],[Red target threshold]]*0.5</f>
        <v>0</v>
      </c>
      <c r="S426" s="375"/>
      <c r="T426" s="396"/>
    </row>
    <row r="427" spans="1:22" x14ac:dyDescent="0.25">
      <c r="A427" s="390"/>
      <c r="B427" s="369"/>
      <c r="C427" s="369"/>
      <c r="D427" s="369"/>
      <c r="E427" s="379"/>
      <c r="F427" s="380"/>
      <c r="G427" s="381"/>
      <c r="H427" s="421"/>
      <c r="I427" s="375"/>
      <c r="J427" s="375"/>
      <c r="K427" s="375"/>
      <c r="L427" s="375">
        <f>Table146[[#This Row],[Green target threshold]]+Table146[[#This Row],[Green target threshold]]*0.5</f>
        <v>0</v>
      </c>
      <c r="M427" s="375"/>
      <c r="N427" s="375"/>
      <c r="O427" s="375"/>
      <c r="P427" s="375"/>
      <c r="Q427" s="375"/>
      <c r="R427" s="375">
        <f>Table146[[#This Row],[Red target threshold]]-Table146[[#This Row],[Red target threshold]]*0.5</f>
        <v>0</v>
      </c>
      <c r="S427" s="375"/>
      <c r="T427" s="396"/>
    </row>
    <row r="428" spans="1:22" x14ac:dyDescent="0.25">
      <c r="A428" s="390"/>
      <c r="B428" s="369"/>
      <c r="C428" s="369"/>
      <c r="D428" s="369"/>
      <c r="E428" s="379"/>
      <c r="F428" s="380"/>
      <c r="G428" s="381"/>
      <c r="H428" s="421"/>
      <c r="I428" s="375"/>
      <c r="J428" s="375"/>
      <c r="K428" s="375"/>
      <c r="L428" s="375">
        <f>Table146[[#This Row],[Green target threshold]]+Table146[[#This Row],[Green target threshold]]*0.5</f>
        <v>0</v>
      </c>
      <c r="M428" s="375"/>
      <c r="N428" s="375"/>
      <c r="O428" s="375"/>
      <c r="P428" s="375"/>
      <c r="Q428" s="375"/>
      <c r="R428" s="375">
        <f>Table146[[#This Row],[Red target threshold]]-Table146[[#This Row],[Red target threshold]]*0.5</f>
        <v>0</v>
      </c>
      <c r="S428" s="375"/>
      <c r="T428" s="396"/>
    </row>
    <row r="429" spans="1:22" x14ac:dyDescent="0.25">
      <c r="A429" s="390"/>
      <c r="B429" s="369"/>
      <c r="C429" s="369"/>
      <c r="D429" s="369"/>
      <c r="E429" s="382"/>
      <c r="F429" s="383"/>
      <c r="G429" s="384"/>
      <c r="H429" s="421"/>
      <c r="I429" s="375"/>
      <c r="J429" s="375"/>
      <c r="K429" s="375"/>
      <c r="L429" s="375">
        <f>Table146[[#This Row],[Green target threshold]]+Table146[[#This Row],[Green target threshold]]*0.5</f>
        <v>0</v>
      </c>
      <c r="M429" s="375"/>
      <c r="N429" s="375"/>
      <c r="O429" s="375"/>
      <c r="P429" s="375"/>
      <c r="Q429" s="375"/>
      <c r="R429" s="375">
        <f>Table146[[#This Row],[Red target threshold]]-Table146[[#This Row],[Red target threshold]]*0.5</f>
        <v>0</v>
      </c>
      <c r="S429" s="375"/>
      <c r="T429" s="396"/>
    </row>
    <row r="430" spans="1:22" x14ac:dyDescent="0.25">
      <c r="A430" s="390"/>
      <c r="B430" s="369"/>
      <c r="C430" s="369"/>
      <c r="D430" s="369"/>
      <c r="E430" s="382"/>
      <c r="F430" s="383"/>
      <c r="G430" s="384"/>
      <c r="H430" s="421"/>
      <c r="I430" s="375"/>
      <c r="J430" s="375"/>
      <c r="K430" s="375"/>
      <c r="L430" s="375">
        <f>Table146[[#This Row],[Green target threshold]]+Table146[[#This Row],[Green target threshold]]*0.5</f>
        <v>0</v>
      </c>
      <c r="M430" s="375"/>
      <c r="N430" s="375"/>
      <c r="O430" s="375"/>
      <c r="P430" s="375"/>
      <c r="Q430" s="375"/>
      <c r="R430" s="375">
        <f>Table146[[#This Row],[Red target threshold]]-Table146[[#This Row],[Red target threshold]]*0.5</f>
        <v>0</v>
      </c>
      <c r="S430" s="375"/>
      <c r="T430" s="396"/>
    </row>
    <row r="431" spans="1:22" x14ac:dyDescent="0.25">
      <c r="A431" s="390"/>
      <c r="B431" s="369"/>
      <c r="C431" s="369"/>
      <c r="D431" s="369"/>
      <c r="E431" s="382"/>
      <c r="F431" s="383"/>
      <c r="G431" s="384"/>
      <c r="H431" s="421"/>
      <c r="I431" s="375"/>
      <c r="J431" s="375"/>
      <c r="K431" s="375"/>
      <c r="L431" s="375">
        <f>Table146[[#This Row],[Green target threshold]]+Table146[[#This Row],[Green target threshold]]*0.5</f>
        <v>0</v>
      </c>
      <c r="M431" s="375"/>
      <c r="N431" s="375"/>
      <c r="O431" s="375"/>
      <c r="P431" s="375"/>
      <c r="Q431" s="375"/>
      <c r="R431" s="375">
        <f>Table146[[#This Row],[Red target threshold]]-Table146[[#This Row],[Red target threshold]]*0.5</f>
        <v>0</v>
      </c>
      <c r="S431" s="375"/>
      <c r="T431" s="396"/>
    </row>
    <row r="432" spans="1:22" x14ac:dyDescent="0.25">
      <c r="A432" s="390"/>
      <c r="B432" s="369"/>
      <c r="C432" s="369"/>
      <c r="D432" s="369"/>
      <c r="E432" s="382"/>
      <c r="F432" s="383"/>
      <c r="G432" s="384"/>
      <c r="H432" s="421"/>
      <c r="I432" s="375"/>
      <c r="J432" s="375"/>
      <c r="K432" s="375"/>
      <c r="L432" s="375">
        <f>Table146[[#This Row],[Green target threshold]]+Table146[[#This Row],[Green target threshold]]*0.5</f>
        <v>0</v>
      </c>
      <c r="M432" s="375"/>
      <c r="N432" s="375"/>
      <c r="O432" s="375"/>
      <c r="P432" s="375"/>
      <c r="Q432" s="375"/>
      <c r="R432" s="375">
        <f>Table146[[#This Row],[Red target threshold]]-Table146[[#This Row],[Red target threshold]]*0.5</f>
        <v>0</v>
      </c>
      <c r="S432" s="375"/>
      <c r="T432" s="396"/>
    </row>
    <row r="433" spans="1:20" x14ac:dyDescent="0.25">
      <c r="A433" s="390"/>
      <c r="B433" s="369"/>
      <c r="C433" s="369"/>
      <c r="D433" s="369"/>
      <c r="E433" s="382"/>
      <c r="F433" s="383"/>
      <c r="G433" s="384"/>
      <c r="H433" s="421"/>
      <c r="I433" s="375"/>
      <c r="J433" s="375"/>
      <c r="K433" s="375"/>
      <c r="L433" s="375">
        <f>Table146[[#This Row],[Green target threshold]]+Table146[[#This Row],[Green target threshold]]*0.5</f>
        <v>0</v>
      </c>
      <c r="M433" s="375"/>
      <c r="N433" s="375"/>
      <c r="O433" s="375"/>
      <c r="P433" s="375"/>
      <c r="Q433" s="375"/>
      <c r="R433" s="375">
        <f>Table146[[#This Row],[Red target threshold]]-Table146[[#This Row],[Red target threshold]]*0.5</f>
        <v>0</v>
      </c>
      <c r="S433" s="375"/>
      <c r="T433" s="396"/>
    </row>
    <row r="434" spans="1:20" x14ac:dyDescent="0.25">
      <c r="A434" s="409"/>
      <c r="B434" s="406"/>
      <c r="C434" s="406"/>
      <c r="D434" s="406"/>
      <c r="E434" s="407">
        <v>2015</v>
      </c>
      <c r="F434" s="407">
        <v>2016</v>
      </c>
      <c r="G434" s="407">
        <v>2017</v>
      </c>
      <c r="H434" s="407"/>
      <c r="I434" s="407"/>
      <c r="J434" s="407"/>
      <c r="K434" s="407"/>
      <c r="L434" s="407">
        <f>Table146[[#This Row],[Green target threshold]]+Table146[[#This Row],[Green target threshold]]*0.5</f>
        <v>0</v>
      </c>
      <c r="M434" s="407"/>
      <c r="N434" s="407"/>
      <c r="O434" s="407"/>
      <c r="P434" s="407"/>
      <c r="Q434" s="407"/>
      <c r="R434" s="407">
        <f>Table146[[#This Row],[Red target threshold]]-Table146[[#This Row],[Red target threshold]]*0.5</f>
        <v>0</v>
      </c>
      <c r="S434" s="407"/>
      <c r="T434" s="413"/>
    </row>
    <row r="435" spans="1:20" x14ac:dyDescent="0.25">
      <c r="A435" s="418" t="s">
        <v>1104</v>
      </c>
      <c r="B435" s="437" t="s">
        <v>1108</v>
      </c>
      <c r="C435" s="437" t="s">
        <v>1101</v>
      </c>
      <c r="D435" s="436" t="s">
        <v>904</v>
      </c>
      <c r="E435" s="420">
        <v>5817775475.0031729</v>
      </c>
      <c r="F435" s="420">
        <v>5870905557.0628424</v>
      </c>
      <c r="G435" s="420">
        <v>5964022886.5478907</v>
      </c>
      <c r="H435" s="421">
        <v>2015</v>
      </c>
      <c r="I435" s="421">
        <v>5817775475.0031729</v>
      </c>
      <c r="J435" s="421">
        <v>2015</v>
      </c>
      <c r="K435" s="411">
        <f>6.48219*1000000000</f>
        <v>6482190000</v>
      </c>
      <c r="L435" s="411">
        <f>Table146[[#This Row],[Green target threshold]]-Table146[[#This Row],[Green target threshold]]*0.5</f>
        <v>2327110190.0012693</v>
      </c>
      <c r="M435" s="421">
        <f>Table146[[#This Row],[Data reference value]]+Table146[[#This Row],[Data reference value]]*Table146[[#This Row],[Improvement rate]]</f>
        <v>4654220380.0025387</v>
      </c>
      <c r="N435" s="421">
        <v>-0.2</v>
      </c>
      <c r="O435" s="421" t="s">
        <v>1140</v>
      </c>
      <c r="P435" s="421">
        <f>(Table146[[#This Row],[Green target threshold]]-Table146[[#This Row],[Model reference value]])*0.5+Table146[[#This Row],[Model reference value]]</f>
        <v>5568205190.0012693</v>
      </c>
      <c r="Q435" s="421">
        <f>Table146[[#This Row],[Model reference value]]</f>
        <v>6482190000</v>
      </c>
      <c r="R435" s="421">
        <f>Table146[[#This Row],[Red target threshold]]+Table146[[#This Row],[Red target threshold]]*0.5</f>
        <v>9723285000</v>
      </c>
      <c r="S435" s="421"/>
      <c r="T435" s="371" t="s">
        <v>1103</v>
      </c>
    </row>
    <row r="436" spans="1:20" x14ac:dyDescent="0.25">
      <c r="A436" s="390"/>
      <c r="B436" s="369"/>
      <c r="C436" s="369"/>
      <c r="D436" s="369"/>
      <c r="E436" s="379"/>
      <c r="F436" s="380"/>
      <c r="G436" s="381"/>
      <c r="H436" s="421"/>
      <c r="I436" s="375"/>
      <c r="J436" s="375"/>
      <c r="K436" s="375"/>
      <c r="L436" s="375"/>
      <c r="M436" s="375"/>
      <c r="N436" s="375"/>
      <c r="O436" s="375"/>
      <c r="P436" s="375"/>
      <c r="Q436" s="375"/>
      <c r="R436" s="375"/>
      <c r="S436" s="375"/>
      <c r="T436" s="396"/>
    </row>
    <row r="437" spans="1:20" x14ac:dyDescent="0.25">
      <c r="A437" s="390"/>
      <c r="B437" s="369"/>
      <c r="C437" s="369"/>
      <c r="D437" s="369"/>
      <c r="E437" s="379"/>
      <c r="F437" s="380"/>
      <c r="G437" s="381"/>
      <c r="H437" s="421"/>
      <c r="I437" s="375"/>
      <c r="J437" s="375"/>
      <c r="K437" s="375"/>
      <c r="L437" s="375"/>
      <c r="M437" s="375"/>
      <c r="N437" s="375"/>
      <c r="O437" s="375"/>
      <c r="P437" s="375"/>
      <c r="Q437" s="375"/>
      <c r="R437" s="375"/>
      <c r="S437" s="375"/>
      <c r="T437" s="396"/>
    </row>
    <row r="438" spans="1:20" x14ac:dyDescent="0.25">
      <c r="A438" s="390"/>
      <c r="B438" s="369"/>
      <c r="C438" s="369"/>
      <c r="D438" s="369"/>
      <c r="E438" s="379"/>
      <c r="F438" s="380"/>
      <c r="G438" s="381"/>
      <c r="H438" s="421"/>
      <c r="I438" s="375"/>
      <c r="J438" s="375"/>
      <c r="K438" s="375"/>
      <c r="L438" s="375"/>
      <c r="M438" s="375"/>
      <c r="N438" s="375"/>
      <c r="O438" s="375"/>
      <c r="P438" s="375"/>
      <c r="Q438" s="375"/>
      <c r="R438" s="375"/>
      <c r="S438" s="375"/>
      <c r="T438" s="396"/>
    </row>
    <row r="439" spans="1:20" x14ac:dyDescent="0.25">
      <c r="A439" s="390"/>
      <c r="B439" s="369"/>
      <c r="C439" s="369"/>
      <c r="D439" s="369"/>
      <c r="E439" s="379"/>
      <c r="F439" s="380"/>
      <c r="G439" s="381"/>
      <c r="H439" s="421"/>
      <c r="I439" s="375"/>
      <c r="J439" s="375"/>
      <c r="K439" s="375"/>
      <c r="L439" s="375"/>
      <c r="M439" s="375"/>
      <c r="N439" s="375"/>
      <c r="O439" s="375"/>
      <c r="P439" s="375"/>
      <c r="Q439" s="375"/>
      <c r="R439" s="375"/>
      <c r="S439" s="375"/>
      <c r="T439" s="396"/>
    </row>
    <row r="440" spans="1:20" x14ac:dyDescent="0.25">
      <c r="A440" s="390"/>
      <c r="B440" s="369"/>
      <c r="C440" s="369"/>
      <c r="D440" s="369"/>
      <c r="E440" s="379"/>
      <c r="F440" s="380"/>
      <c r="G440" s="381"/>
      <c r="H440" s="421"/>
      <c r="I440" s="375"/>
      <c r="J440" s="375"/>
      <c r="K440" s="375"/>
      <c r="L440" s="375"/>
      <c r="M440" s="375"/>
      <c r="N440" s="375"/>
      <c r="O440" s="375"/>
      <c r="P440" s="375"/>
      <c r="Q440" s="375"/>
      <c r="R440" s="375"/>
      <c r="S440" s="375"/>
      <c r="T440" s="396"/>
    </row>
    <row r="441" spans="1:20" x14ac:dyDescent="0.25">
      <c r="A441" s="390"/>
      <c r="B441" s="369"/>
      <c r="C441" s="369"/>
      <c r="D441" s="369"/>
      <c r="E441" s="382"/>
      <c r="F441" s="383"/>
      <c r="G441" s="384"/>
      <c r="H441" s="421"/>
      <c r="I441" s="375"/>
      <c r="J441" s="375"/>
      <c r="K441" s="375"/>
      <c r="L441" s="375"/>
      <c r="M441" s="375"/>
      <c r="N441" s="375"/>
      <c r="O441" s="375"/>
      <c r="P441" s="375"/>
      <c r="Q441" s="375"/>
      <c r="R441" s="375"/>
      <c r="S441" s="375"/>
      <c r="T441" s="396"/>
    </row>
    <row r="442" spans="1:20" x14ac:dyDescent="0.25">
      <c r="A442" s="390"/>
      <c r="B442" s="369"/>
      <c r="C442" s="369"/>
      <c r="D442" s="369"/>
      <c r="E442" s="382"/>
      <c r="F442" s="383"/>
      <c r="G442" s="384"/>
      <c r="H442" s="421"/>
      <c r="I442" s="375"/>
      <c r="J442" s="375"/>
      <c r="K442" s="375"/>
      <c r="L442" s="375"/>
      <c r="M442" s="375"/>
      <c r="N442" s="375"/>
      <c r="O442" s="375"/>
      <c r="P442" s="375"/>
      <c r="Q442" s="375"/>
      <c r="R442" s="375"/>
      <c r="S442" s="375"/>
      <c r="T442" s="396"/>
    </row>
    <row r="443" spans="1:20" x14ac:dyDescent="0.25">
      <c r="A443" s="390"/>
      <c r="B443" s="369"/>
      <c r="C443" s="369"/>
      <c r="D443" s="369"/>
      <c r="E443" s="382"/>
      <c r="F443" s="383"/>
      <c r="G443" s="384"/>
      <c r="H443" s="421"/>
      <c r="I443" s="375"/>
      <c r="J443" s="375"/>
      <c r="K443" s="375"/>
      <c r="L443" s="375"/>
      <c r="M443" s="375"/>
      <c r="N443" s="375"/>
      <c r="O443" s="375"/>
      <c r="P443" s="375"/>
      <c r="Q443" s="375"/>
      <c r="R443" s="375"/>
      <c r="S443" s="375"/>
      <c r="T443" s="396"/>
    </row>
    <row r="444" spans="1:20" x14ac:dyDescent="0.25">
      <c r="A444" s="390"/>
      <c r="B444" s="369"/>
      <c r="C444" s="369"/>
      <c r="D444" s="369"/>
      <c r="E444" s="382"/>
      <c r="F444" s="383"/>
      <c r="G444" s="384"/>
      <c r="H444" s="421"/>
      <c r="I444" s="375"/>
      <c r="J444" s="375"/>
      <c r="K444" s="375"/>
      <c r="L444" s="375"/>
      <c r="M444" s="375"/>
      <c r="N444" s="375"/>
      <c r="O444" s="375"/>
      <c r="P444" s="375"/>
      <c r="Q444" s="375"/>
      <c r="R444" s="375"/>
      <c r="S444" s="375"/>
      <c r="T444" s="396"/>
    </row>
    <row r="445" spans="1:20" x14ac:dyDescent="0.25">
      <c r="A445" s="390"/>
      <c r="B445" s="369"/>
      <c r="C445" s="369"/>
      <c r="D445" s="369"/>
      <c r="E445" s="382"/>
      <c r="F445" s="383"/>
      <c r="G445" s="384"/>
      <c r="H445" s="421"/>
      <c r="I445" s="375"/>
      <c r="J445" s="375"/>
      <c r="K445" s="375"/>
      <c r="L445" s="375"/>
      <c r="M445" s="375"/>
      <c r="N445" s="375"/>
      <c r="O445" s="375"/>
      <c r="P445" s="375"/>
      <c r="Q445" s="375"/>
      <c r="R445" s="375"/>
      <c r="S445" s="375"/>
      <c r="T445" s="396"/>
    </row>
    <row r="446" spans="1:20" s="386" customFormat="1" x14ac:dyDescent="0.25">
      <c r="A446" s="409"/>
      <c r="B446" s="406"/>
      <c r="C446" s="406"/>
      <c r="D446" s="406"/>
      <c r="E446" s="406">
        <v>2014</v>
      </c>
      <c r="F446" s="406">
        <v>2015</v>
      </c>
      <c r="G446" s="406">
        <v>2016</v>
      </c>
      <c r="H446" s="406"/>
      <c r="I446" s="406"/>
      <c r="J446" s="406"/>
      <c r="K446" s="406"/>
      <c r="L446" s="406">
        <f>Table146[[#This Row],[Green target threshold]]+Table146[[#This Row],[Green target threshold]]*0.5</f>
        <v>0</v>
      </c>
      <c r="M446" s="406"/>
      <c r="N446" s="406"/>
      <c r="O446" s="406"/>
      <c r="P446" s="406"/>
      <c r="Q446" s="406"/>
      <c r="R446" s="406">
        <f>Table146[[#This Row],[Red target threshold]]-Table146[[#This Row],[Red target threshold]]*0.5</f>
        <v>0</v>
      </c>
      <c r="S446" s="406"/>
      <c r="T446" s="413"/>
    </row>
    <row r="447" spans="1:20" x14ac:dyDescent="0.25">
      <c r="A447" s="418" t="s">
        <v>801</v>
      </c>
      <c r="B447" s="437" t="s">
        <v>800</v>
      </c>
      <c r="C447" s="437" t="s">
        <v>645</v>
      </c>
      <c r="D447" s="436" t="s">
        <v>904</v>
      </c>
      <c r="E447" s="420">
        <v>4.54</v>
      </c>
      <c r="F447" s="420">
        <v>4.5</v>
      </c>
      <c r="G447" s="420">
        <v>4.46</v>
      </c>
      <c r="H447" s="421">
        <v>2015</v>
      </c>
      <c r="I447" s="421">
        <v>4.54</v>
      </c>
      <c r="J447" s="421">
        <v>2015</v>
      </c>
      <c r="K447" s="411">
        <v>4.8656300000000003</v>
      </c>
      <c r="L447" s="411">
        <f>Table146[[#This Row],[Green target threshold]]-Table146[[#This Row],[Green target threshold]]*0.5</f>
        <v>1.8160000000000001</v>
      </c>
      <c r="M447" s="421">
        <f>Table146[[#This Row],[Data reference value]]+Table146[[#This Row],[Data reference value]]*Table146[[#This Row],[Improvement rate]]</f>
        <v>3.6320000000000001</v>
      </c>
      <c r="N447" s="421">
        <v>-0.2</v>
      </c>
      <c r="O447" s="421" t="s">
        <v>1140</v>
      </c>
      <c r="P447" s="421">
        <f>(Table146[[#This Row],[Green target threshold]]-Table146[[#This Row],[Model reference value]])*0.5+Table146[[#This Row],[Model reference value]]</f>
        <v>4.2488150000000005</v>
      </c>
      <c r="Q447" s="421">
        <f>Table146[[#This Row],[Model reference value]]</f>
        <v>4.8656300000000003</v>
      </c>
      <c r="R447" s="421">
        <f>Table146[[#This Row],[Red target threshold]]+Table146[[#This Row],[Red target threshold]]*0.5</f>
        <v>7.298445000000001</v>
      </c>
      <c r="S447" s="421"/>
      <c r="T447" s="419" t="s">
        <v>803</v>
      </c>
    </row>
    <row r="448" spans="1:20" x14ac:dyDescent="0.25">
      <c r="A448" s="390"/>
      <c r="B448" s="369"/>
      <c r="C448" s="369"/>
      <c r="D448" s="369" t="s">
        <v>796</v>
      </c>
      <c r="E448" s="379">
        <v>15.86</v>
      </c>
      <c r="F448" s="380">
        <v>15.38</v>
      </c>
      <c r="G448" s="381">
        <v>15.02</v>
      </c>
      <c r="H448" s="421"/>
      <c r="I448" s="375"/>
      <c r="J448" s="375"/>
      <c r="K448" s="375"/>
      <c r="L448" s="375">
        <f>Table146[[#This Row],[Green target threshold]]+Table146[[#This Row],[Green target threshold]]*0.5</f>
        <v>0</v>
      </c>
      <c r="M448" s="375"/>
      <c r="N448" s="375"/>
      <c r="O448" s="375"/>
      <c r="P448" s="375"/>
      <c r="Q448" s="375"/>
      <c r="R448" s="375">
        <f>Table146[[#This Row],[Red target threshold]]-Table146[[#This Row],[Red target threshold]]*0.5</f>
        <v>0</v>
      </c>
      <c r="S448" s="375"/>
      <c r="T448" s="396"/>
    </row>
    <row r="449" spans="1:20" x14ac:dyDescent="0.25">
      <c r="A449" s="390"/>
      <c r="B449" s="369"/>
      <c r="C449" s="369"/>
      <c r="D449" s="369" t="s">
        <v>799</v>
      </c>
      <c r="E449" s="379">
        <v>9.26</v>
      </c>
      <c r="F449" s="380">
        <v>9.14</v>
      </c>
      <c r="G449" s="381">
        <v>9.0399999999999991</v>
      </c>
      <c r="H449" s="421"/>
      <c r="I449" s="375"/>
      <c r="J449" s="375"/>
      <c r="K449" s="375"/>
      <c r="L449" s="375">
        <f>Table146[[#This Row],[Green target threshold]]+Table146[[#This Row],[Green target threshold]]*0.5</f>
        <v>0</v>
      </c>
      <c r="M449" s="375"/>
      <c r="N449" s="375"/>
      <c r="O449" s="375"/>
      <c r="P449" s="375"/>
      <c r="Q449" s="375"/>
      <c r="R449" s="375">
        <f>Table146[[#This Row],[Red target threshold]]-Table146[[#This Row],[Red target threshold]]*0.5</f>
        <v>0</v>
      </c>
      <c r="S449" s="375"/>
      <c r="T449" s="396"/>
    </row>
    <row r="450" spans="1:20" x14ac:dyDescent="0.25">
      <c r="A450" s="390"/>
      <c r="B450" s="369"/>
      <c r="C450" s="369"/>
      <c r="D450" s="369" t="s">
        <v>797</v>
      </c>
      <c r="E450" s="379">
        <v>5.42</v>
      </c>
      <c r="F450" s="380">
        <v>5.52</v>
      </c>
      <c r="G450" s="381">
        <v>5.52</v>
      </c>
      <c r="H450" s="421"/>
      <c r="I450" s="375"/>
      <c r="J450" s="375"/>
      <c r="K450" s="375"/>
      <c r="L450" s="375">
        <f>Table146[[#This Row],[Green target threshold]]+Table146[[#This Row],[Green target threshold]]*0.5</f>
        <v>0</v>
      </c>
      <c r="M450" s="375"/>
      <c r="N450" s="375"/>
      <c r="O450" s="375"/>
      <c r="P450" s="375"/>
      <c r="Q450" s="375"/>
      <c r="R450" s="375">
        <f>Table146[[#This Row],[Red target threshold]]-Table146[[#This Row],[Red target threshold]]*0.5</f>
        <v>0</v>
      </c>
      <c r="S450" s="375"/>
      <c r="T450" s="396"/>
    </row>
    <row r="451" spans="1:20" x14ac:dyDescent="0.25">
      <c r="A451" s="390"/>
      <c r="B451" s="369"/>
      <c r="C451" s="369"/>
      <c r="D451" s="369" t="s">
        <v>795</v>
      </c>
      <c r="E451" s="379">
        <v>4.43</v>
      </c>
      <c r="F451" s="380">
        <v>4.37</v>
      </c>
      <c r="G451" s="381">
        <v>4.32</v>
      </c>
      <c r="H451" s="421"/>
      <c r="I451" s="375"/>
      <c r="J451" s="375"/>
      <c r="K451" s="375"/>
      <c r="L451" s="375">
        <f>Table146[[#This Row],[Green target threshold]]+Table146[[#This Row],[Green target threshold]]*0.5</f>
        <v>0</v>
      </c>
      <c r="M451" s="375"/>
      <c r="N451" s="375"/>
      <c r="O451" s="375"/>
      <c r="P451" s="375"/>
      <c r="Q451" s="375"/>
      <c r="R451" s="375">
        <f>Table146[[#This Row],[Red target threshold]]-Table146[[#This Row],[Red target threshold]]*0.5</f>
        <v>0</v>
      </c>
      <c r="S451" s="375"/>
      <c r="T451" s="396"/>
    </row>
    <row r="452" spans="1:20" x14ac:dyDescent="0.25">
      <c r="A452" s="390"/>
      <c r="B452" s="369"/>
      <c r="C452" s="369"/>
      <c r="D452" s="369" t="s">
        <v>794</v>
      </c>
      <c r="E452" s="379">
        <v>2.91</v>
      </c>
      <c r="F452" s="380">
        <v>2.89</v>
      </c>
      <c r="G452" s="381">
        <v>2.86</v>
      </c>
      <c r="H452" s="421"/>
      <c r="I452" s="375"/>
      <c r="J452" s="375"/>
      <c r="K452" s="375"/>
      <c r="L452" s="375">
        <f>Table146[[#This Row],[Green target threshold]]+Table146[[#This Row],[Green target threshold]]*0.5</f>
        <v>0</v>
      </c>
      <c r="M452" s="375"/>
      <c r="N452" s="375"/>
      <c r="O452" s="375"/>
      <c r="P452" s="375"/>
      <c r="Q452" s="375"/>
      <c r="R452" s="375">
        <f>Table146[[#This Row],[Red target threshold]]-Table146[[#This Row],[Red target threshold]]*0.5</f>
        <v>0</v>
      </c>
      <c r="S452" s="375"/>
      <c r="T452" s="396"/>
    </row>
    <row r="453" spans="1:20" x14ac:dyDescent="0.25">
      <c r="A453" s="390"/>
      <c r="B453" s="369"/>
      <c r="C453" s="369"/>
      <c r="D453" s="369" t="s">
        <v>789</v>
      </c>
      <c r="E453" s="382">
        <v>2.77</v>
      </c>
      <c r="F453" s="383">
        <v>1.43</v>
      </c>
      <c r="G453" s="384">
        <v>1.39</v>
      </c>
      <c r="H453" s="421"/>
      <c r="I453" s="375"/>
      <c r="J453" s="375"/>
      <c r="K453" s="375"/>
      <c r="L453" s="375">
        <f>Table146[[#This Row],[Green target threshold]]+Table146[[#This Row],[Green target threshold]]*0.5</f>
        <v>0</v>
      </c>
      <c r="M453" s="375"/>
      <c r="N453" s="375"/>
      <c r="O453" s="375"/>
      <c r="P453" s="375"/>
      <c r="Q453" s="375"/>
      <c r="R453" s="375">
        <f>Table146[[#This Row],[Red target threshold]]-Table146[[#This Row],[Red target threshold]]*0.5</f>
        <v>0</v>
      </c>
      <c r="S453" s="375"/>
      <c r="T453" s="396"/>
    </row>
    <row r="454" spans="1:20" x14ac:dyDescent="0.25">
      <c r="A454" s="390"/>
      <c r="B454" s="369"/>
      <c r="C454" s="369"/>
      <c r="D454" s="369" t="s">
        <v>793</v>
      </c>
      <c r="E454" s="382">
        <v>1.31</v>
      </c>
      <c r="F454" s="383">
        <v>1.31</v>
      </c>
      <c r="G454" s="384">
        <v>1.32</v>
      </c>
      <c r="H454" s="421"/>
      <c r="I454" s="375"/>
      <c r="J454" s="375"/>
      <c r="K454" s="375"/>
      <c r="L454" s="375">
        <f>Table146[[#This Row],[Green target threshold]]+Table146[[#This Row],[Green target threshold]]*0.5</f>
        <v>0</v>
      </c>
      <c r="M454" s="375"/>
      <c r="N454" s="375"/>
      <c r="O454" s="375"/>
      <c r="P454" s="375"/>
      <c r="Q454" s="375"/>
      <c r="R454" s="375">
        <f>Table146[[#This Row],[Red target threshold]]-Table146[[#This Row],[Red target threshold]]*0.5</f>
        <v>0</v>
      </c>
      <c r="S454" s="375"/>
      <c r="T454" s="396"/>
    </row>
    <row r="455" spans="1:20" x14ac:dyDescent="0.25">
      <c r="A455" s="390"/>
      <c r="B455" s="369"/>
      <c r="C455" s="369"/>
      <c r="D455" s="369" t="s">
        <v>791</v>
      </c>
      <c r="E455" s="382">
        <v>0.82</v>
      </c>
      <c r="F455" s="383">
        <v>0.83</v>
      </c>
      <c r="G455" s="384">
        <v>0.82</v>
      </c>
      <c r="H455" s="421"/>
      <c r="I455" s="375"/>
      <c r="J455" s="375"/>
      <c r="K455" s="375"/>
      <c r="L455" s="375">
        <f>Table146[[#This Row],[Green target threshold]]+Table146[[#This Row],[Green target threshold]]*0.5</f>
        <v>0</v>
      </c>
      <c r="M455" s="375"/>
      <c r="N455" s="375"/>
      <c r="O455" s="375"/>
      <c r="P455" s="375"/>
      <c r="Q455" s="375"/>
      <c r="R455" s="375">
        <f>Table146[[#This Row],[Red target threshold]]-Table146[[#This Row],[Red target threshold]]*0.5</f>
        <v>0</v>
      </c>
      <c r="S455" s="375"/>
      <c r="T455" s="396"/>
    </row>
    <row r="456" spans="1:20" x14ac:dyDescent="0.25">
      <c r="A456" s="390"/>
      <c r="B456" s="369"/>
      <c r="C456" s="369"/>
      <c r="D456" s="369" t="s">
        <v>790</v>
      </c>
      <c r="E456" s="382">
        <v>0.39</v>
      </c>
      <c r="F456" s="383">
        <v>0.37</v>
      </c>
      <c r="G456" s="384">
        <v>0.25</v>
      </c>
      <c r="H456" s="421"/>
      <c r="I456" s="375"/>
      <c r="J456" s="375"/>
      <c r="K456" s="375"/>
      <c r="L456" s="375">
        <f>Table146[[#This Row],[Green target threshold]]+Table146[[#This Row],[Green target threshold]]*0.5</f>
        <v>0</v>
      </c>
      <c r="M456" s="375"/>
      <c r="N456" s="375"/>
      <c r="O456" s="375"/>
      <c r="P456" s="375"/>
      <c r="Q456" s="375"/>
      <c r="R456" s="375">
        <f>Table146[[#This Row],[Red target threshold]]-Table146[[#This Row],[Red target threshold]]*0.5</f>
        <v>0</v>
      </c>
      <c r="S456" s="375"/>
      <c r="T456" s="396"/>
    </row>
    <row r="457" spans="1:20" x14ac:dyDescent="0.25">
      <c r="A457" s="390"/>
      <c r="B457" s="369"/>
      <c r="C457" s="369"/>
      <c r="D457" s="369" t="s">
        <v>798</v>
      </c>
      <c r="E457" s="382">
        <v>0.15</v>
      </c>
      <c r="F457" s="383">
        <v>0.16</v>
      </c>
      <c r="G457" s="384">
        <v>0.11</v>
      </c>
      <c r="H457" s="421"/>
      <c r="I457" s="375"/>
      <c r="J457" s="375"/>
      <c r="K457" s="375"/>
      <c r="L457" s="375">
        <f>Table146[[#This Row],[Green target threshold]]+Table146[[#This Row],[Green target threshold]]*0.5</f>
        <v>0</v>
      </c>
      <c r="M457" s="375"/>
      <c r="N457" s="375"/>
      <c r="O457" s="375"/>
      <c r="P457" s="375"/>
      <c r="Q457" s="375"/>
      <c r="R457" s="375">
        <f>Table146[[#This Row],[Red target threshold]]-Table146[[#This Row],[Red target threshold]]*0.5</f>
        <v>0</v>
      </c>
      <c r="S457" s="375"/>
      <c r="T457" s="396"/>
    </row>
    <row r="458" spans="1:20" s="386" customFormat="1" x14ac:dyDescent="0.25">
      <c r="A458" s="409"/>
      <c r="B458" s="406"/>
      <c r="C458" s="406"/>
      <c r="D458" s="406"/>
      <c r="E458" s="407">
        <v>2012</v>
      </c>
      <c r="F458" s="407">
        <v>2013</v>
      </c>
      <c r="G458" s="407">
        <v>2014</v>
      </c>
      <c r="H458" s="407"/>
      <c r="I458" s="407"/>
      <c r="J458" s="407"/>
      <c r="K458" s="407"/>
      <c r="L458" s="407">
        <f>Table146[[#This Row],[Green target threshold]]+Table146[[#This Row],[Green target threshold]]*0.5</f>
        <v>0</v>
      </c>
      <c r="M458" s="407"/>
      <c r="N458" s="407"/>
      <c r="O458" s="407"/>
      <c r="P458" s="407"/>
      <c r="Q458" s="407"/>
      <c r="R458" s="407">
        <f>Table146[[#This Row],[Red target threshold]]-Table146[[#This Row],[Red target threshold]]*0.5</f>
        <v>0</v>
      </c>
      <c r="S458" s="407"/>
      <c r="T458" s="413"/>
    </row>
    <row r="459" spans="1:20" x14ac:dyDescent="0.25">
      <c r="A459" s="418" t="s">
        <v>621</v>
      </c>
      <c r="B459" s="437" t="s">
        <v>657</v>
      </c>
      <c r="C459" s="437" t="s">
        <v>645</v>
      </c>
      <c r="D459" s="436" t="s">
        <v>904</v>
      </c>
      <c r="E459" s="420">
        <v>5.00593781609368</v>
      </c>
      <c r="F459" s="420">
        <v>4.99852018932752</v>
      </c>
      <c r="G459" s="420">
        <v>4.9816855938225997</v>
      </c>
      <c r="H459" s="421">
        <v>2014</v>
      </c>
      <c r="I459" s="421">
        <v>4.9816855938225997</v>
      </c>
      <c r="J459" s="421">
        <v>2015</v>
      </c>
      <c r="K459" s="411">
        <v>4.4921699999999998</v>
      </c>
      <c r="L459" s="411">
        <f>Table146[[#This Row],[Green target threshold]]-Table146[[#This Row],[Green target threshold]]*0.5</f>
        <v>1.7435899578379099</v>
      </c>
      <c r="M459" s="421">
        <f>Table146[[#This Row],[Data reference value]]+Table146[[#This Row],[Data reference value]]*Table146[[#This Row],[Improvement rate]]</f>
        <v>3.4871799156758199</v>
      </c>
      <c r="N459" s="421">
        <v>-0.3</v>
      </c>
      <c r="O459" s="421" t="s">
        <v>1140</v>
      </c>
      <c r="P459" s="421">
        <f>(Table146[[#This Row],[Green target threshold]]-Table146[[#This Row],[Model reference value]])*0.5+Table146[[#This Row],[Model reference value]]</f>
        <v>3.9896749578379098</v>
      </c>
      <c r="Q459" s="421">
        <f>Table146[[#This Row],[Model reference value]]</f>
        <v>4.4921699999999998</v>
      </c>
      <c r="R459" s="421">
        <f>Table146[[#This Row],[Red target threshold]]+Table146[[#This Row],[Red target threshold]]*0.5</f>
        <v>6.7382549999999997</v>
      </c>
      <c r="S459" s="421"/>
      <c r="T459" s="371" t="s">
        <v>1117</v>
      </c>
    </row>
    <row r="460" spans="1:20" x14ac:dyDescent="0.25">
      <c r="A460" s="390"/>
      <c r="B460" s="369"/>
      <c r="C460" s="369"/>
      <c r="D460" s="369"/>
      <c r="E460" s="379"/>
      <c r="F460" s="380"/>
      <c r="G460" s="381"/>
      <c r="H460" s="421"/>
      <c r="I460" s="375"/>
      <c r="J460" s="375"/>
      <c r="K460" s="375"/>
      <c r="L460" s="375">
        <f>Table146[[#This Row],[Green target threshold]]+Table146[[#This Row],[Green target threshold]]*0.5</f>
        <v>0</v>
      </c>
      <c r="M460" s="375"/>
      <c r="N460" s="375"/>
      <c r="O460" s="375"/>
      <c r="P460" s="375"/>
      <c r="Q460" s="375"/>
      <c r="R460" s="375">
        <f>Table146[[#This Row],[Red target threshold]]-Table146[[#This Row],[Red target threshold]]*0.5</f>
        <v>0</v>
      </c>
      <c r="S460" s="375"/>
      <c r="T460" s="396"/>
    </row>
    <row r="461" spans="1:20" x14ac:dyDescent="0.25">
      <c r="A461" s="390"/>
      <c r="B461" s="369"/>
      <c r="C461" s="369"/>
      <c r="D461" s="369"/>
      <c r="E461" s="379"/>
      <c r="F461" s="380"/>
      <c r="G461" s="381"/>
      <c r="H461" s="421"/>
      <c r="I461" s="375"/>
      <c r="J461" s="375"/>
      <c r="K461" s="375"/>
      <c r="L461" s="375">
        <f>Table146[[#This Row],[Green target threshold]]+Table146[[#This Row],[Green target threshold]]*0.5</f>
        <v>0</v>
      </c>
      <c r="M461" s="375"/>
      <c r="N461" s="375"/>
      <c r="O461" s="375"/>
      <c r="P461" s="375"/>
      <c r="Q461" s="375"/>
      <c r="R461" s="375">
        <f>Table146[[#This Row],[Red target threshold]]-Table146[[#This Row],[Red target threshold]]*0.5</f>
        <v>0</v>
      </c>
      <c r="S461" s="375"/>
      <c r="T461" s="396"/>
    </row>
    <row r="462" spans="1:20" x14ac:dyDescent="0.25">
      <c r="A462" s="390"/>
      <c r="B462" s="369"/>
      <c r="C462" s="369"/>
      <c r="D462" s="369"/>
      <c r="E462" s="379"/>
      <c r="F462" s="380"/>
      <c r="G462" s="381"/>
      <c r="H462" s="421"/>
      <c r="I462" s="375"/>
      <c r="J462" s="375"/>
      <c r="K462" s="375"/>
      <c r="L462" s="375">
        <f>Table146[[#This Row],[Green target threshold]]+Table146[[#This Row],[Green target threshold]]*0.5</f>
        <v>0</v>
      </c>
      <c r="M462" s="375"/>
      <c r="N462" s="375"/>
      <c r="O462" s="375"/>
      <c r="P462" s="375"/>
      <c r="Q462" s="375"/>
      <c r="R462" s="375">
        <f>Table146[[#This Row],[Red target threshold]]-Table146[[#This Row],[Red target threshold]]*0.5</f>
        <v>0</v>
      </c>
      <c r="S462" s="375"/>
      <c r="T462" s="396"/>
    </row>
    <row r="463" spans="1:20" x14ac:dyDescent="0.25">
      <c r="A463" s="390"/>
      <c r="B463" s="369"/>
      <c r="C463" s="369"/>
      <c r="D463" s="369"/>
      <c r="E463" s="379"/>
      <c r="F463" s="380"/>
      <c r="G463" s="381"/>
      <c r="H463" s="421"/>
      <c r="I463" s="375"/>
      <c r="J463" s="375"/>
      <c r="K463" s="375"/>
      <c r="L463" s="375">
        <f>Table146[[#This Row],[Green target threshold]]+Table146[[#This Row],[Green target threshold]]*0.5</f>
        <v>0</v>
      </c>
      <c r="M463" s="375"/>
      <c r="N463" s="375"/>
      <c r="O463" s="375"/>
      <c r="P463" s="375"/>
      <c r="Q463" s="375"/>
      <c r="R463" s="375">
        <f>Table146[[#This Row],[Red target threshold]]-Table146[[#This Row],[Red target threshold]]*0.5</f>
        <v>0</v>
      </c>
      <c r="S463" s="375"/>
      <c r="T463" s="396"/>
    </row>
    <row r="464" spans="1:20" x14ac:dyDescent="0.25">
      <c r="A464" s="390"/>
      <c r="B464" s="369"/>
      <c r="C464" s="369"/>
      <c r="D464" s="369"/>
      <c r="E464" s="379"/>
      <c r="F464" s="380"/>
      <c r="G464" s="381"/>
      <c r="H464" s="421"/>
      <c r="I464" s="375"/>
      <c r="J464" s="375"/>
      <c r="K464" s="375"/>
      <c r="L464" s="375">
        <f>Table146[[#This Row],[Green target threshold]]+Table146[[#This Row],[Green target threshold]]*0.5</f>
        <v>0</v>
      </c>
      <c r="M464" s="375"/>
      <c r="N464" s="375"/>
      <c r="O464" s="375"/>
      <c r="P464" s="375"/>
      <c r="Q464" s="375"/>
      <c r="R464" s="375">
        <f>Table146[[#This Row],[Red target threshold]]-Table146[[#This Row],[Red target threshold]]*0.5</f>
        <v>0</v>
      </c>
      <c r="S464" s="375"/>
      <c r="T464" s="396"/>
    </row>
    <row r="465" spans="1:21" x14ac:dyDescent="0.25">
      <c r="A465" s="390"/>
      <c r="B465" s="369"/>
      <c r="C465" s="369"/>
      <c r="D465" s="369"/>
      <c r="E465" s="382"/>
      <c r="F465" s="383"/>
      <c r="G465" s="384"/>
      <c r="H465" s="421"/>
      <c r="I465" s="375"/>
      <c r="J465" s="375"/>
      <c r="K465" s="375"/>
      <c r="L465" s="375">
        <f>Table146[[#This Row],[Green target threshold]]+Table146[[#This Row],[Green target threshold]]*0.5</f>
        <v>0</v>
      </c>
      <c r="M465" s="375"/>
      <c r="N465" s="375"/>
      <c r="O465" s="375"/>
      <c r="P465" s="375"/>
      <c r="Q465" s="375"/>
      <c r="R465" s="375">
        <f>Table146[[#This Row],[Red target threshold]]-Table146[[#This Row],[Red target threshold]]*0.5</f>
        <v>0</v>
      </c>
      <c r="S465" s="375"/>
      <c r="T465" s="396"/>
    </row>
    <row r="466" spans="1:21" x14ac:dyDescent="0.25">
      <c r="A466" s="390"/>
      <c r="B466" s="369"/>
      <c r="C466" s="369"/>
      <c r="D466" s="369"/>
      <c r="E466" s="382"/>
      <c r="F466" s="383"/>
      <c r="G466" s="384"/>
      <c r="H466" s="421"/>
      <c r="I466" s="375"/>
      <c r="J466" s="375"/>
      <c r="K466" s="375"/>
      <c r="L466" s="375">
        <f>Table146[[#This Row],[Green target threshold]]+Table146[[#This Row],[Green target threshold]]*0.5</f>
        <v>0</v>
      </c>
      <c r="M466" s="375"/>
      <c r="N466" s="375"/>
      <c r="O466" s="375"/>
      <c r="P466" s="375"/>
      <c r="Q466" s="375"/>
      <c r="R466" s="375">
        <f>Table146[[#This Row],[Red target threshold]]-Table146[[#This Row],[Red target threshold]]*0.5</f>
        <v>0</v>
      </c>
      <c r="S466" s="375"/>
      <c r="T466" s="396"/>
    </row>
    <row r="467" spans="1:21" x14ac:dyDescent="0.25">
      <c r="A467" s="390"/>
      <c r="B467" s="369"/>
      <c r="C467" s="369"/>
      <c r="D467" s="369"/>
      <c r="E467" s="382"/>
      <c r="F467" s="383"/>
      <c r="G467" s="384"/>
      <c r="H467" s="421"/>
      <c r="I467" s="375"/>
      <c r="J467" s="375"/>
      <c r="K467" s="375"/>
      <c r="L467" s="375">
        <f>Table146[[#This Row],[Green target threshold]]+Table146[[#This Row],[Green target threshold]]*0.5</f>
        <v>0</v>
      </c>
      <c r="M467" s="375"/>
      <c r="N467" s="375"/>
      <c r="O467" s="375"/>
      <c r="P467" s="375"/>
      <c r="Q467" s="375"/>
      <c r="R467" s="375">
        <f>Table146[[#This Row],[Red target threshold]]-Table146[[#This Row],[Red target threshold]]*0.5</f>
        <v>0</v>
      </c>
      <c r="S467" s="375"/>
      <c r="T467" s="396"/>
    </row>
    <row r="468" spans="1:21" x14ac:dyDescent="0.25">
      <c r="A468" s="390"/>
      <c r="B468" s="369"/>
      <c r="C468" s="369"/>
      <c r="D468" s="369"/>
      <c r="E468" s="382"/>
      <c r="F468" s="383"/>
      <c r="G468" s="384"/>
      <c r="H468" s="421"/>
      <c r="I468" s="375"/>
      <c r="J468" s="375"/>
      <c r="K468" s="375"/>
      <c r="L468" s="375">
        <f>Table146[[#This Row],[Green target threshold]]+Table146[[#This Row],[Green target threshold]]*0.5</f>
        <v>0</v>
      </c>
      <c r="M468" s="375"/>
      <c r="N468" s="375"/>
      <c r="O468" s="375"/>
      <c r="P468" s="375"/>
      <c r="Q468" s="375"/>
      <c r="R468" s="375">
        <f>Table146[[#This Row],[Red target threshold]]-Table146[[#This Row],[Red target threshold]]*0.5</f>
        <v>0</v>
      </c>
      <c r="S468" s="375"/>
      <c r="T468" s="396"/>
    </row>
    <row r="469" spans="1:21" x14ac:dyDescent="0.25">
      <c r="A469" s="390"/>
      <c r="B469" s="369"/>
      <c r="C469" s="369"/>
      <c r="D469" s="369"/>
      <c r="E469" s="382"/>
      <c r="F469" s="383"/>
      <c r="G469" s="384"/>
      <c r="H469" s="421"/>
      <c r="I469" s="375"/>
      <c r="J469" s="375"/>
      <c r="K469" s="375"/>
      <c r="L469" s="375">
        <f>Table146[[#This Row],[Green target threshold]]+Table146[[#This Row],[Green target threshold]]*0.5</f>
        <v>0</v>
      </c>
      <c r="M469" s="375"/>
      <c r="N469" s="375"/>
      <c r="O469" s="375"/>
      <c r="P469" s="375"/>
      <c r="Q469" s="375"/>
      <c r="R469" s="375">
        <f>Table146[[#This Row],[Red target threshold]]-Table146[[#This Row],[Red target threshold]]*0.5</f>
        <v>0</v>
      </c>
      <c r="S469" s="375"/>
      <c r="T469" s="396"/>
    </row>
    <row r="470" spans="1:21" s="386" customFormat="1" x14ac:dyDescent="0.25">
      <c r="A470" s="409"/>
      <c r="B470" s="406"/>
      <c r="C470" s="406"/>
      <c r="D470" s="406"/>
      <c r="E470" s="407"/>
      <c r="F470" s="407"/>
      <c r="G470" s="407">
        <v>2011</v>
      </c>
      <c r="H470" s="407"/>
      <c r="I470" s="407"/>
      <c r="J470" s="407"/>
      <c r="K470" s="407"/>
      <c r="L470" s="407">
        <f>Table146[[#This Row],[Green target threshold]]+Table146[[#This Row],[Green target threshold]]*0.5</f>
        <v>0</v>
      </c>
      <c r="M470" s="407"/>
      <c r="N470" s="407"/>
      <c r="O470" s="407"/>
      <c r="P470" s="407"/>
      <c r="Q470" s="407"/>
      <c r="R470" s="407">
        <f>Table146[[#This Row],[Red target threshold]]-Table146[[#This Row],[Red target threshold]]*0.5</f>
        <v>0</v>
      </c>
      <c r="S470" s="407"/>
      <c r="T470" s="413"/>
    </row>
    <row r="471" spans="1:21" x14ac:dyDescent="0.25">
      <c r="A471" s="429" t="s">
        <v>622</v>
      </c>
      <c r="B471" s="438" t="s">
        <v>505</v>
      </c>
      <c r="C471" s="438" t="s">
        <v>498</v>
      </c>
      <c r="D471" s="436" t="s">
        <v>904</v>
      </c>
      <c r="E471" s="420"/>
      <c r="F471" s="420"/>
      <c r="G471" s="420">
        <v>2.83</v>
      </c>
      <c r="H471" s="421">
        <v>2011</v>
      </c>
      <c r="I471" s="430">
        <v>2.83</v>
      </c>
      <c r="J471" s="430">
        <v>2015</v>
      </c>
      <c r="K471" s="430">
        <v>2.3928400000000001</v>
      </c>
      <c r="L471" s="430">
        <v>2.8439038999999999</v>
      </c>
      <c r="M471" s="430">
        <v>2.9313248999999999</v>
      </c>
      <c r="N471" s="430"/>
      <c r="O471" s="430" t="s">
        <v>985</v>
      </c>
      <c r="P471" s="430">
        <f>3.0217489</f>
        <v>3.0217489</v>
      </c>
      <c r="Q471" s="430">
        <v>3.1915646</v>
      </c>
      <c r="R471" s="430">
        <v>3.3364218999999999</v>
      </c>
      <c r="S471" s="430" t="s">
        <v>1058</v>
      </c>
      <c r="T471" s="419" t="s">
        <v>875</v>
      </c>
      <c r="U471" s="377" t="s">
        <v>986</v>
      </c>
    </row>
    <row r="472" spans="1:21" x14ac:dyDescent="0.25">
      <c r="A472" s="389"/>
      <c r="B472" s="435"/>
      <c r="C472" s="372"/>
      <c r="D472" s="372"/>
      <c r="E472" s="379"/>
      <c r="F472" s="380"/>
      <c r="G472" s="381"/>
      <c r="H472" s="375"/>
      <c r="I472" s="375"/>
      <c r="J472" s="375"/>
      <c r="K472" s="375"/>
      <c r="L472" s="431">
        <f>Table146[[#This Row],[Green target threshold]]+Table146[[#This Row],[Green target threshold]]*0.5</f>
        <v>0</v>
      </c>
      <c r="M472" s="375"/>
      <c r="N472" s="375"/>
      <c r="O472" s="375"/>
      <c r="P472" s="431"/>
      <c r="Q472" s="431"/>
      <c r="R472" s="431">
        <f>Table146[[#This Row],[Red target threshold]]-Table146[[#This Row],[Red target threshold]]*0.5</f>
        <v>0</v>
      </c>
      <c r="S472" s="375"/>
      <c r="T472" s="401"/>
      <c r="U472" s="377"/>
    </row>
    <row r="473" spans="1:21" x14ac:dyDescent="0.25">
      <c r="A473" s="389"/>
      <c r="B473" s="435"/>
      <c r="C473" s="372"/>
      <c r="D473" s="372"/>
      <c r="E473" s="379"/>
      <c r="F473" s="380"/>
      <c r="G473" s="381"/>
      <c r="H473" s="375"/>
      <c r="I473" s="375"/>
      <c r="J473" s="375"/>
      <c r="K473" s="375"/>
      <c r="L473" s="431">
        <f>Table146[[#This Row],[Green target threshold]]+Table146[[#This Row],[Green target threshold]]*0.5</f>
        <v>0</v>
      </c>
      <c r="M473" s="375"/>
      <c r="N473" s="375"/>
      <c r="O473" s="375"/>
      <c r="P473" s="431"/>
      <c r="Q473" s="431"/>
      <c r="R473" s="431">
        <f>Table146[[#This Row],[Red target threshold]]-Table146[[#This Row],[Red target threshold]]*0.5</f>
        <v>0</v>
      </c>
      <c r="S473" s="375"/>
      <c r="T473" s="401"/>
      <c r="U473" s="377"/>
    </row>
    <row r="474" spans="1:21" x14ac:dyDescent="0.25">
      <c r="A474" s="389"/>
      <c r="B474" s="435"/>
      <c r="C474" s="372"/>
      <c r="D474" s="372"/>
      <c r="E474" s="379"/>
      <c r="F474" s="380"/>
      <c r="G474" s="381"/>
      <c r="H474" s="375"/>
      <c r="I474" s="375"/>
      <c r="J474" s="375"/>
      <c r="K474" s="375"/>
      <c r="L474" s="431">
        <f>Table146[[#This Row],[Green target threshold]]+Table146[[#This Row],[Green target threshold]]*0.5</f>
        <v>0</v>
      </c>
      <c r="M474" s="375"/>
      <c r="N474" s="375"/>
      <c r="O474" s="375"/>
      <c r="P474" s="431"/>
      <c r="Q474" s="431"/>
      <c r="R474" s="431">
        <f>Table146[[#This Row],[Red target threshold]]-Table146[[#This Row],[Red target threshold]]*0.5</f>
        <v>0</v>
      </c>
      <c r="S474" s="375"/>
      <c r="T474" s="401"/>
      <c r="U474" s="377"/>
    </row>
    <row r="475" spans="1:21" x14ac:dyDescent="0.25">
      <c r="A475" s="389"/>
      <c r="B475" s="435"/>
      <c r="C475" s="372"/>
      <c r="D475" s="372"/>
      <c r="E475" s="379"/>
      <c r="F475" s="380"/>
      <c r="G475" s="381"/>
      <c r="H475" s="375"/>
      <c r="I475" s="375"/>
      <c r="J475" s="375"/>
      <c r="K475" s="375"/>
      <c r="L475" s="431">
        <f>Table146[[#This Row],[Green target threshold]]+Table146[[#This Row],[Green target threshold]]*0.5</f>
        <v>0</v>
      </c>
      <c r="M475" s="375"/>
      <c r="N475" s="375"/>
      <c r="O475" s="375"/>
      <c r="P475" s="431"/>
      <c r="Q475" s="431"/>
      <c r="R475" s="431">
        <f>Table146[[#This Row],[Red target threshold]]-Table146[[#This Row],[Red target threshold]]*0.5</f>
        <v>0</v>
      </c>
      <c r="S475" s="375"/>
      <c r="T475" s="401"/>
      <c r="U475" s="377"/>
    </row>
    <row r="476" spans="1:21" x14ac:dyDescent="0.25">
      <c r="A476" s="389"/>
      <c r="B476" s="435"/>
      <c r="C476" s="372"/>
      <c r="D476" s="372"/>
      <c r="E476" s="379"/>
      <c r="F476" s="380"/>
      <c r="G476" s="381"/>
      <c r="H476" s="375"/>
      <c r="I476" s="375"/>
      <c r="J476" s="375"/>
      <c r="K476" s="375"/>
      <c r="L476" s="431">
        <f>Table146[[#This Row],[Green target threshold]]+Table146[[#This Row],[Green target threshold]]*0.5</f>
        <v>0</v>
      </c>
      <c r="M476" s="375"/>
      <c r="N476" s="375"/>
      <c r="O476" s="375"/>
      <c r="P476" s="431"/>
      <c r="Q476" s="431"/>
      <c r="R476" s="431">
        <f>Table146[[#This Row],[Red target threshold]]-Table146[[#This Row],[Red target threshold]]*0.5</f>
        <v>0</v>
      </c>
      <c r="S476" s="375"/>
      <c r="T476" s="401"/>
      <c r="U476" s="377"/>
    </row>
    <row r="477" spans="1:21" x14ac:dyDescent="0.25">
      <c r="A477" s="389"/>
      <c r="B477" s="435"/>
      <c r="C477" s="372"/>
      <c r="D477" s="372"/>
      <c r="E477" s="382"/>
      <c r="F477" s="383"/>
      <c r="G477" s="384"/>
      <c r="H477" s="375"/>
      <c r="I477" s="375"/>
      <c r="J477" s="375"/>
      <c r="K477" s="375"/>
      <c r="L477" s="431">
        <f>Table146[[#This Row],[Green target threshold]]+Table146[[#This Row],[Green target threshold]]*0.5</f>
        <v>0</v>
      </c>
      <c r="M477" s="375"/>
      <c r="N477" s="375"/>
      <c r="O477" s="375"/>
      <c r="P477" s="431"/>
      <c r="Q477" s="431"/>
      <c r="R477" s="431">
        <f>Table146[[#This Row],[Red target threshold]]-Table146[[#This Row],[Red target threshold]]*0.5</f>
        <v>0</v>
      </c>
      <c r="S477" s="375"/>
      <c r="T477" s="401"/>
      <c r="U477" s="377"/>
    </row>
    <row r="478" spans="1:21" x14ac:dyDescent="0.25">
      <c r="A478" s="389"/>
      <c r="B478" s="435"/>
      <c r="C478" s="372"/>
      <c r="D478" s="372"/>
      <c r="E478" s="382"/>
      <c r="F478" s="383"/>
      <c r="G478" s="384"/>
      <c r="H478" s="375"/>
      <c r="I478" s="375"/>
      <c r="J478" s="375"/>
      <c r="K478" s="375"/>
      <c r="L478" s="431">
        <f>Table146[[#This Row],[Green target threshold]]+Table146[[#This Row],[Green target threshold]]*0.5</f>
        <v>0</v>
      </c>
      <c r="M478" s="375"/>
      <c r="N478" s="375"/>
      <c r="O478" s="375"/>
      <c r="P478" s="431"/>
      <c r="Q478" s="431"/>
      <c r="R478" s="431">
        <f>Table146[[#This Row],[Red target threshold]]-Table146[[#This Row],[Red target threshold]]*0.5</f>
        <v>0</v>
      </c>
      <c r="S478" s="375"/>
      <c r="T478" s="401"/>
      <c r="U478" s="377"/>
    </row>
    <row r="479" spans="1:21" x14ac:dyDescent="0.25">
      <c r="A479" s="389"/>
      <c r="B479" s="435"/>
      <c r="C479" s="372"/>
      <c r="D479" s="372"/>
      <c r="E479" s="382"/>
      <c r="F479" s="383"/>
      <c r="G479" s="384"/>
      <c r="H479" s="375"/>
      <c r="I479" s="375"/>
      <c r="J479" s="375"/>
      <c r="K479" s="375"/>
      <c r="L479" s="431">
        <f>Table146[[#This Row],[Green target threshold]]+Table146[[#This Row],[Green target threshold]]*0.5</f>
        <v>0</v>
      </c>
      <c r="M479" s="375"/>
      <c r="N479" s="375"/>
      <c r="O479" s="375"/>
      <c r="P479" s="431"/>
      <c r="Q479" s="431"/>
      <c r="R479" s="431">
        <f>Table146[[#This Row],[Red target threshold]]-Table146[[#This Row],[Red target threshold]]*0.5</f>
        <v>0</v>
      </c>
      <c r="S479" s="375"/>
      <c r="T479" s="401"/>
      <c r="U479" s="377"/>
    </row>
    <row r="480" spans="1:21" x14ac:dyDescent="0.25">
      <c r="A480" s="389"/>
      <c r="B480" s="435"/>
      <c r="C480" s="372"/>
      <c r="D480" s="372"/>
      <c r="E480" s="382"/>
      <c r="F480" s="383"/>
      <c r="G480" s="384"/>
      <c r="H480" s="375"/>
      <c r="I480" s="375"/>
      <c r="J480" s="375"/>
      <c r="K480" s="375"/>
      <c r="L480" s="431">
        <f>Table146[[#This Row],[Green target threshold]]+Table146[[#This Row],[Green target threshold]]*0.5</f>
        <v>0</v>
      </c>
      <c r="M480" s="375"/>
      <c r="N480" s="375"/>
      <c r="O480" s="375"/>
      <c r="P480" s="431"/>
      <c r="Q480" s="431"/>
      <c r="R480" s="431">
        <f>Table146[[#This Row],[Red target threshold]]-Table146[[#This Row],[Red target threshold]]*0.5</f>
        <v>0</v>
      </c>
      <c r="S480" s="375"/>
      <c r="T480" s="401"/>
      <c r="U480" s="377"/>
    </row>
    <row r="481" spans="1:21" x14ac:dyDescent="0.25">
      <c r="A481" s="389"/>
      <c r="B481" s="435"/>
      <c r="C481" s="372"/>
      <c r="D481" s="372"/>
      <c r="E481" s="382"/>
      <c r="F481" s="383"/>
      <c r="G481" s="384"/>
      <c r="H481" s="375"/>
      <c r="I481" s="375"/>
      <c r="J481" s="375"/>
      <c r="K481" s="375"/>
      <c r="L481" s="431">
        <f>Table146[[#This Row],[Green target threshold]]+Table146[[#This Row],[Green target threshold]]*0.5</f>
        <v>0</v>
      </c>
      <c r="M481" s="375"/>
      <c r="N481" s="375"/>
      <c r="O481" s="375"/>
      <c r="P481" s="431"/>
      <c r="Q481" s="431"/>
      <c r="R481" s="431">
        <f>Table146[[#This Row],[Red target threshold]]-Table146[[#This Row],[Red target threshold]]*0.5</f>
        <v>0</v>
      </c>
      <c r="S481" s="375"/>
      <c r="T481" s="401"/>
      <c r="U481" s="377"/>
    </row>
    <row r="482" spans="1:21" s="386" customFormat="1" x14ac:dyDescent="0.25">
      <c r="A482" s="409"/>
      <c r="B482" s="433"/>
      <c r="C482" s="406"/>
      <c r="D482" s="406"/>
      <c r="E482" s="407"/>
      <c r="F482" s="407"/>
      <c r="G482" s="407">
        <v>2011</v>
      </c>
      <c r="H482" s="407"/>
      <c r="I482" s="407"/>
      <c r="J482" s="407"/>
      <c r="K482" s="407"/>
      <c r="L482" s="407">
        <f>Table146[[#This Row],[Green target threshold]]+Table146[[#This Row],[Green target threshold]]*0.5</f>
        <v>0</v>
      </c>
      <c r="M482" s="407"/>
      <c r="N482" s="407"/>
      <c r="O482" s="407"/>
      <c r="P482" s="407"/>
      <c r="Q482" s="392">
        <v>2.6296694999999999</v>
      </c>
      <c r="R482" s="392">
        <f>Table146[[#This Row],[Red target threshold]]-Table146[[#This Row],[Red target threshold]]*0.5</f>
        <v>1.3148347499999999</v>
      </c>
      <c r="S482" s="407"/>
      <c r="T482" s="414"/>
    </row>
    <row r="483" spans="1:21" x14ac:dyDescent="0.25">
      <c r="A483" s="429" t="s">
        <v>623</v>
      </c>
      <c r="B483" s="438" t="s">
        <v>658</v>
      </c>
      <c r="C483" s="438" t="s">
        <v>498</v>
      </c>
      <c r="D483" s="436" t="s">
        <v>904</v>
      </c>
      <c r="E483" s="420"/>
      <c r="F483" s="420"/>
      <c r="G483" s="420">
        <v>1.82</v>
      </c>
      <c r="H483" s="421">
        <v>2011</v>
      </c>
      <c r="I483" s="430">
        <v>1.82</v>
      </c>
      <c r="J483" s="430">
        <v>2015</v>
      </c>
      <c r="K483" s="430">
        <v>2.0063399999999998</v>
      </c>
      <c r="L483" s="430">
        <v>2.2869142999999998</v>
      </c>
      <c r="M483" s="430">
        <v>2.4343537</v>
      </c>
      <c r="N483" s="430"/>
      <c r="O483" s="430" t="s">
        <v>985</v>
      </c>
      <c r="P483" s="430">
        <v>2.4919891000000001</v>
      </c>
      <c r="Q483" s="430">
        <v>2.5244892999999999</v>
      </c>
      <c r="R483" s="430">
        <v>2.6296694999999999</v>
      </c>
      <c r="S483" s="430" t="s">
        <v>1058</v>
      </c>
      <c r="T483" s="419" t="s">
        <v>875</v>
      </c>
      <c r="U483" s="377" t="s">
        <v>986</v>
      </c>
    </row>
    <row r="484" spans="1:21" x14ac:dyDescent="0.25">
      <c r="A484" s="389"/>
      <c r="B484" s="435"/>
      <c r="C484" s="372"/>
      <c r="D484" s="372"/>
      <c r="E484" s="379"/>
      <c r="F484" s="380"/>
      <c r="G484" s="381"/>
      <c r="H484" s="375"/>
      <c r="I484" s="375"/>
      <c r="J484" s="375"/>
      <c r="K484" s="375"/>
      <c r="L484" s="431">
        <f>Table146[[#This Row],[Green target threshold]]+Table146[[#This Row],[Green target threshold]]*0.5</f>
        <v>0</v>
      </c>
      <c r="M484" s="375"/>
      <c r="N484" s="375"/>
      <c r="O484" s="375"/>
      <c r="P484" s="431"/>
      <c r="Q484" s="431"/>
      <c r="R484" s="431">
        <f>Table146[[#This Row],[Red target threshold]]-Table146[[#This Row],[Red target threshold]]*0.5</f>
        <v>0</v>
      </c>
      <c r="S484" s="375"/>
      <c r="T484" s="401"/>
      <c r="U484" s="377"/>
    </row>
    <row r="485" spans="1:21" x14ac:dyDescent="0.25">
      <c r="A485" s="389"/>
      <c r="B485" s="435"/>
      <c r="C485" s="372"/>
      <c r="D485" s="372"/>
      <c r="E485" s="379"/>
      <c r="F485" s="380"/>
      <c r="G485" s="381"/>
      <c r="H485" s="375"/>
      <c r="I485" s="375"/>
      <c r="J485" s="375"/>
      <c r="K485" s="375"/>
      <c r="L485" s="431">
        <f>Table146[[#This Row],[Green target threshold]]+Table146[[#This Row],[Green target threshold]]*0.5</f>
        <v>0</v>
      </c>
      <c r="M485" s="375"/>
      <c r="N485" s="375"/>
      <c r="O485" s="375"/>
      <c r="P485" s="431"/>
      <c r="Q485" s="431"/>
      <c r="R485" s="431">
        <f>Table146[[#This Row],[Red target threshold]]-Table146[[#This Row],[Red target threshold]]*0.5</f>
        <v>0</v>
      </c>
      <c r="S485" s="375"/>
      <c r="T485" s="401"/>
      <c r="U485" s="377"/>
    </row>
    <row r="486" spans="1:21" x14ac:dyDescent="0.25">
      <c r="A486" s="389"/>
      <c r="B486" s="435"/>
      <c r="C486" s="372"/>
      <c r="D486" s="372"/>
      <c r="E486" s="379"/>
      <c r="F486" s="380"/>
      <c r="G486" s="381"/>
      <c r="H486" s="375"/>
      <c r="I486" s="375"/>
      <c r="J486" s="375"/>
      <c r="K486" s="375"/>
      <c r="L486" s="431">
        <f>Table146[[#This Row],[Green target threshold]]+Table146[[#This Row],[Green target threshold]]*0.5</f>
        <v>0</v>
      </c>
      <c r="M486" s="375"/>
      <c r="N486" s="375"/>
      <c r="O486" s="375"/>
      <c r="P486" s="431"/>
      <c r="Q486" s="431"/>
      <c r="R486" s="431">
        <f>Table146[[#This Row],[Red target threshold]]-Table146[[#This Row],[Red target threshold]]*0.5</f>
        <v>0</v>
      </c>
      <c r="S486" s="375"/>
      <c r="T486" s="401"/>
      <c r="U486" s="377"/>
    </row>
    <row r="487" spans="1:21" x14ac:dyDescent="0.25">
      <c r="A487" s="389"/>
      <c r="B487" s="435"/>
      <c r="C487" s="372"/>
      <c r="D487" s="372"/>
      <c r="E487" s="379"/>
      <c r="F487" s="380"/>
      <c r="G487" s="381"/>
      <c r="H487" s="375"/>
      <c r="I487" s="375"/>
      <c r="J487" s="375"/>
      <c r="K487" s="375"/>
      <c r="L487" s="431">
        <f>Table146[[#This Row],[Green target threshold]]+Table146[[#This Row],[Green target threshold]]*0.5</f>
        <v>0</v>
      </c>
      <c r="M487" s="375"/>
      <c r="N487" s="375"/>
      <c r="O487" s="375"/>
      <c r="P487" s="431"/>
      <c r="Q487" s="431"/>
      <c r="R487" s="431">
        <f>Table146[[#This Row],[Red target threshold]]-Table146[[#This Row],[Red target threshold]]*0.5</f>
        <v>0</v>
      </c>
      <c r="S487" s="375"/>
      <c r="T487" s="401"/>
      <c r="U487" s="377"/>
    </row>
    <row r="488" spans="1:21" x14ac:dyDescent="0.25">
      <c r="A488" s="389"/>
      <c r="B488" s="435"/>
      <c r="C488" s="372"/>
      <c r="D488" s="372"/>
      <c r="E488" s="379"/>
      <c r="F488" s="380"/>
      <c r="G488" s="381"/>
      <c r="H488" s="375"/>
      <c r="I488" s="375"/>
      <c r="J488" s="375"/>
      <c r="K488" s="375"/>
      <c r="L488" s="431">
        <f>Table146[[#This Row],[Green target threshold]]+Table146[[#This Row],[Green target threshold]]*0.5</f>
        <v>0</v>
      </c>
      <c r="M488" s="375"/>
      <c r="N488" s="375"/>
      <c r="O488" s="375"/>
      <c r="P488" s="431"/>
      <c r="Q488" s="431"/>
      <c r="R488" s="431">
        <f>Table146[[#This Row],[Red target threshold]]-Table146[[#This Row],[Red target threshold]]*0.5</f>
        <v>0</v>
      </c>
      <c r="S488" s="375"/>
      <c r="T488" s="401"/>
      <c r="U488" s="377"/>
    </row>
    <row r="489" spans="1:21" x14ac:dyDescent="0.25">
      <c r="A489" s="389"/>
      <c r="B489" s="435"/>
      <c r="C489" s="372"/>
      <c r="D489" s="372"/>
      <c r="E489" s="382"/>
      <c r="F489" s="383"/>
      <c r="G489" s="384"/>
      <c r="H489" s="375"/>
      <c r="I489" s="375"/>
      <c r="J489" s="375"/>
      <c r="K489" s="375"/>
      <c r="L489" s="431">
        <f>Table146[[#This Row],[Green target threshold]]+Table146[[#This Row],[Green target threshold]]*0.5</f>
        <v>0</v>
      </c>
      <c r="M489" s="375"/>
      <c r="N489" s="375"/>
      <c r="O489" s="375"/>
      <c r="P489" s="431"/>
      <c r="Q489" s="431"/>
      <c r="R489" s="431">
        <f>Table146[[#This Row],[Red target threshold]]-Table146[[#This Row],[Red target threshold]]*0.5</f>
        <v>0</v>
      </c>
      <c r="S489" s="375"/>
      <c r="T489" s="401"/>
      <c r="U489" s="377"/>
    </row>
    <row r="490" spans="1:21" x14ac:dyDescent="0.25">
      <c r="A490" s="389"/>
      <c r="B490" s="435"/>
      <c r="C490" s="372"/>
      <c r="D490" s="372"/>
      <c r="E490" s="382"/>
      <c r="F490" s="383"/>
      <c r="G490" s="384"/>
      <c r="H490" s="375"/>
      <c r="I490" s="375"/>
      <c r="J490" s="375"/>
      <c r="K490" s="375"/>
      <c r="L490" s="431">
        <f>Table146[[#This Row],[Green target threshold]]+Table146[[#This Row],[Green target threshold]]*0.5</f>
        <v>0</v>
      </c>
      <c r="M490" s="375"/>
      <c r="N490" s="375"/>
      <c r="O490" s="375"/>
      <c r="P490" s="431"/>
      <c r="Q490" s="431"/>
      <c r="R490" s="431">
        <f>Table146[[#This Row],[Red target threshold]]-Table146[[#This Row],[Red target threshold]]*0.5</f>
        <v>0</v>
      </c>
      <c r="S490" s="375"/>
      <c r="T490" s="401"/>
      <c r="U490" s="377"/>
    </row>
    <row r="491" spans="1:21" x14ac:dyDescent="0.25">
      <c r="A491" s="389"/>
      <c r="B491" s="435"/>
      <c r="C491" s="372"/>
      <c r="D491" s="372"/>
      <c r="E491" s="382"/>
      <c r="F491" s="383"/>
      <c r="G491" s="384"/>
      <c r="H491" s="375"/>
      <c r="I491" s="375"/>
      <c r="J491" s="375"/>
      <c r="K491" s="375"/>
      <c r="L491" s="431">
        <f>Table146[[#This Row],[Green target threshold]]+Table146[[#This Row],[Green target threshold]]*0.5</f>
        <v>0</v>
      </c>
      <c r="M491" s="375"/>
      <c r="N491" s="375"/>
      <c r="O491" s="375"/>
      <c r="P491" s="431"/>
      <c r="Q491" s="431"/>
      <c r="R491" s="431">
        <f>Table146[[#This Row],[Red target threshold]]-Table146[[#This Row],[Red target threshold]]*0.5</f>
        <v>0</v>
      </c>
      <c r="S491" s="375"/>
      <c r="T491" s="401"/>
      <c r="U491" s="377"/>
    </row>
    <row r="492" spans="1:21" x14ac:dyDescent="0.25">
      <c r="A492" s="389"/>
      <c r="B492" s="435"/>
      <c r="C492" s="372"/>
      <c r="D492" s="372"/>
      <c r="E492" s="382"/>
      <c r="F492" s="383"/>
      <c r="G492" s="384"/>
      <c r="H492" s="375"/>
      <c r="I492" s="375"/>
      <c r="J492" s="375"/>
      <c r="K492" s="375"/>
      <c r="L492" s="431">
        <f>Table146[[#This Row],[Green target threshold]]+Table146[[#This Row],[Green target threshold]]*0.5</f>
        <v>0</v>
      </c>
      <c r="M492" s="375"/>
      <c r="N492" s="375"/>
      <c r="O492" s="375"/>
      <c r="P492" s="431"/>
      <c r="Q492" s="431"/>
      <c r="R492" s="431">
        <f>Table146[[#This Row],[Red target threshold]]-Table146[[#This Row],[Red target threshold]]*0.5</f>
        <v>0</v>
      </c>
      <c r="S492" s="375"/>
      <c r="T492" s="401"/>
      <c r="U492" s="377"/>
    </row>
    <row r="493" spans="1:21" x14ac:dyDescent="0.25">
      <c r="A493" s="389"/>
      <c r="B493" s="435"/>
      <c r="C493" s="372"/>
      <c r="D493" s="372"/>
      <c r="E493" s="382"/>
      <c r="F493" s="383"/>
      <c r="G493" s="384"/>
      <c r="H493" s="375"/>
      <c r="I493" s="375"/>
      <c r="J493" s="375"/>
      <c r="K493" s="375"/>
      <c r="L493" s="431">
        <f>Table146[[#This Row],[Green target threshold]]+Table146[[#This Row],[Green target threshold]]*0.5</f>
        <v>0</v>
      </c>
      <c r="M493" s="375"/>
      <c r="N493" s="375"/>
      <c r="O493" s="375"/>
      <c r="P493" s="431"/>
      <c r="Q493" s="431"/>
      <c r="R493" s="431">
        <f>Table146[[#This Row],[Red target threshold]]-Table146[[#This Row],[Red target threshold]]*0.5</f>
        <v>0</v>
      </c>
      <c r="S493" s="375"/>
      <c r="T493" s="401"/>
      <c r="U493" s="377"/>
    </row>
    <row r="494" spans="1:21" s="386" customFormat="1" x14ac:dyDescent="0.25">
      <c r="A494" s="409"/>
      <c r="B494" s="433"/>
      <c r="C494" s="406"/>
      <c r="D494" s="406"/>
      <c r="E494" s="407">
        <v>2005</v>
      </c>
      <c r="F494" s="407">
        <v>2010</v>
      </c>
      <c r="G494" s="407">
        <v>2020</v>
      </c>
      <c r="H494" s="407"/>
      <c r="I494" s="407"/>
      <c r="J494" s="407"/>
      <c r="K494" s="407"/>
      <c r="L494" s="407">
        <f>Table146[[#This Row],[Green target threshold]]+Table146[[#This Row],[Green target threshold]]*0.5</f>
        <v>0</v>
      </c>
      <c r="M494" s="407"/>
      <c r="N494" s="407"/>
      <c r="O494" s="407"/>
      <c r="P494" s="407"/>
      <c r="Q494" s="407"/>
      <c r="R494" s="407">
        <f>Table146[[#This Row],[Red target threshold]]-Table146[[#This Row],[Red target threshold]]*0.5</f>
        <v>0</v>
      </c>
      <c r="S494" s="407"/>
      <c r="T494" s="413"/>
    </row>
    <row r="495" spans="1:21" x14ac:dyDescent="0.25">
      <c r="A495" s="429" t="s">
        <v>624</v>
      </c>
      <c r="B495" s="438" t="s">
        <v>1029</v>
      </c>
      <c r="C495" s="438" t="s">
        <v>499</v>
      </c>
      <c r="D495" s="436" t="s">
        <v>1083</v>
      </c>
      <c r="E495" s="420">
        <v>0.91300000000000003</v>
      </c>
      <c r="F495" s="420">
        <v>0.98899999999999999</v>
      </c>
      <c r="G495" s="420">
        <v>1.2410000000000001</v>
      </c>
      <c r="H495" s="421">
        <v>2020</v>
      </c>
      <c r="I495" s="430">
        <v>1.2410000000000001</v>
      </c>
      <c r="J495" s="430">
        <v>2015</v>
      </c>
      <c r="K495" s="430">
        <v>1.12751</v>
      </c>
      <c r="L495" s="430">
        <v>1.466178</v>
      </c>
      <c r="M495" s="430">
        <v>1.4725360000000001</v>
      </c>
      <c r="N495" s="430"/>
      <c r="O495" s="430" t="s">
        <v>985</v>
      </c>
      <c r="P495" s="430">
        <v>1.4947785</v>
      </c>
      <c r="Q495" s="430">
        <v>1.5548980999999999</v>
      </c>
      <c r="R495" s="430">
        <v>1.6029602000000001</v>
      </c>
      <c r="S495" s="430" t="s">
        <v>1118</v>
      </c>
      <c r="T495" s="419" t="s">
        <v>986</v>
      </c>
    </row>
    <row r="496" spans="1:21" x14ac:dyDescent="0.25">
      <c r="A496" s="389"/>
      <c r="B496" s="372"/>
      <c r="C496" s="372"/>
      <c r="D496" s="372"/>
      <c r="E496" s="379"/>
      <c r="F496" s="380"/>
      <c r="G496" s="381"/>
      <c r="H496" s="421"/>
      <c r="I496" s="375"/>
      <c r="J496" s="375"/>
      <c r="K496" s="375"/>
      <c r="L496" s="431">
        <f>Table146[[#This Row],[Green target threshold]]+Table146[[#This Row],[Green target threshold]]*0.5</f>
        <v>0</v>
      </c>
      <c r="M496" s="375"/>
      <c r="N496" s="375"/>
      <c r="O496" s="375"/>
      <c r="P496" s="431"/>
      <c r="Q496" s="431"/>
      <c r="R496" s="431">
        <f>Table146[[#This Row],[Red target threshold]]-Table146[[#This Row],[Red target threshold]]*0.5</f>
        <v>0</v>
      </c>
      <c r="S496" s="375"/>
      <c r="T496" s="401"/>
    </row>
    <row r="497" spans="1:21" x14ac:dyDescent="0.25">
      <c r="A497" s="389"/>
      <c r="B497" s="372"/>
      <c r="C497" s="372"/>
      <c r="D497" s="372"/>
      <c r="E497" s="379"/>
      <c r="F497" s="380"/>
      <c r="G497" s="381"/>
      <c r="H497" s="421"/>
      <c r="I497" s="375"/>
      <c r="J497" s="375"/>
      <c r="K497" s="375"/>
      <c r="L497" s="431">
        <f>Table146[[#This Row],[Green target threshold]]+Table146[[#This Row],[Green target threshold]]*0.5</f>
        <v>0</v>
      </c>
      <c r="M497" s="375"/>
      <c r="N497" s="375"/>
      <c r="O497" s="375"/>
      <c r="P497" s="431"/>
      <c r="Q497" s="431"/>
      <c r="R497" s="431">
        <f>Table146[[#This Row],[Red target threshold]]-Table146[[#This Row],[Red target threshold]]*0.5</f>
        <v>0</v>
      </c>
      <c r="S497" s="375"/>
      <c r="T497" s="401"/>
    </row>
    <row r="498" spans="1:21" x14ac:dyDescent="0.25">
      <c r="A498" s="389"/>
      <c r="B498" s="372"/>
      <c r="C498" s="372"/>
      <c r="D498" s="372"/>
      <c r="E498" s="379"/>
      <c r="F498" s="380"/>
      <c r="G498" s="381"/>
      <c r="H498" s="421"/>
      <c r="I498" s="375"/>
      <c r="J498" s="375"/>
      <c r="K498" s="375"/>
      <c r="L498" s="431">
        <f>Table146[[#This Row],[Green target threshold]]+Table146[[#This Row],[Green target threshold]]*0.5</f>
        <v>0</v>
      </c>
      <c r="M498" s="375"/>
      <c r="N498" s="375"/>
      <c r="O498" s="375"/>
      <c r="P498" s="431"/>
      <c r="Q498" s="431"/>
      <c r="R498" s="431">
        <f>Table146[[#This Row],[Red target threshold]]-Table146[[#This Row],[Red target threshold]]*0.5</f>
        <v>0</v>
      </c>
      <c r="S498" s="375"/>
      <c r="T498" s="401"/>
    </row>
    <row r="499" spans="1:21" x14ac:dyDescent="0.25">
      <c r="A499" s="389"/>
      <c r="B499" s="372"/>
      <c r="C499" s="372"/>
      <c r="D499" s="372"/>
      <c r="E499" s="379"/>
      <c r="F499" s="380"/>
      <c r="G499" s="381"/>
      <c r="H499" s="421"/>
      <c r="I499" s="375"/>
      <c r="J499" s="375"/>
      <c r="K499" s="375"/>
      <c r="L499" s="431">
        <f>Table146[[#This Row],[Green target threshold]]+Table146[[#This Row],[Green target threshold]]*0.5</f>
        <v>0</v>
      </c>
      <c r="M499" s="375"/>
      <c r="N499" s="375"/>
      <c r="O499" s="375"/>
      <c r="P499" s="431"/>
      <c r="Q499" s="431"/>
      <c r="R499" s="431">
        <f>Table146[[#This Row],[Red target threshold]]-Table146[[#This Row],[Red target threshold]]*0.5</f>
        <v>0</v>
      </c>
      <c r="S499" s="375"/>
      <c r="T499" s="401"/>
    </row>
    <row r="500" spans="1:21" x14ac:dyDescent="0.25">
      <c r="A500" s="389"/>
      <c r="B500" s="372"/>
      <c r="C500" s="372"/>
      <c r="D500" s="372"/>
      <c r="E500" s="379"/>
      <c r="F500" s="380"/>
      <c r="G500" s="381"/>
      <c r="H500" s="421"/>
      <c r="I500" s="375"/>
      <c r="J500" s="375"/>
      <c r="K500" s="375"/>
      <c r="L500" s="431">
        <f>Table146[[#This Row],[Green target threshold]]+Table146[[#This Row],[Green target threshold]]*0.5</f>
        <v>0</v>
      </c>
      <c r="M500" s="375"/>
      <c r="N500" s="375"/>
      <c r="O500" s="375"/>
      <c r="P500" s="431"/>
      <c r="Q500" s="431"/>
      <c r="R500" s="431">
        <f>Table146[[#This Row],[Red target threshold]]-Table146[[#This Row],[Red target threshold]]*0.5</f>
        <v>0</v>
      </c>
      <c r="S500" s="375"/>
      <c r="T500" s="401"/>
    </row>
    <row r="501" spans="1:21" x14ac:dyDescent="0.25">
      <c r="A501" s="389"/>
      <c r="B501" s="372"/>
      <c r="C501" s="372"/>
      <c r="D501" s="372"/>
      <c r="E501" s="382"/>
      <c r="F501" s="383"/>
      <c r="G501" s="384"/>
      <c r="H501" s="421"/>
      <c r="I501" s="375"/>
      <c r="J501" s="375"/>
      <c r="K501" s="375"/>
      <c r="L501" s="431">
        <f>Table146[[#This Row],[Green target threshold]]+Table146[[#This Row],[Green target threshold]]*0.5</f>
        <v>0</v>
      </c>
      <c r="M501" s="375"/>
      <c r="N501" s="375"/>
      <c r="O501" s="375"/>
      <c r="P501" s="431"/>
      <c r="Q501" s="431"/>
      <c r="R501" s="431">
        <f>Table146[[#This Row],[Red target threshold]]-Table146[[#This Row],[Red target threshold]]*0.5</f>
        <v>0</v>
      </c>
      <c r="S501" s="375"/>
      <c r="T501" s="401"/>
    </row>
    <row r="502" spans="1:21" x14ac:dyDescent="0.25">
      <c r="A502" s="389"/>
      <c r="B502" s="372"/>
      <c r="C502" s="372"/>
      <c r="D502" s="372"/>
      <c r="E502" s="382"/>
      <c r="F502" s="383"/>
      <c r="G502" s="384"/>
      <c r="H502" s="421"/>
      <c r="I502" s="375"/>
      <c r="J502" s="375"/>
      <c r="K502" s="375"/>
      <c r="L502" s="431">
        <f>Table146[[#This Row],[Green target threshold]]+Table146[[#This Row],[Green target threshold]]*0.5</f>
        <v>0</v>
      </c>
      <c r="M502" s="375"/>
      <c r="N502" s="375"/>
      <c r="O502" s="375"/>
      <c r="P502" s="431"/>
      <c r="Q502" s="431"/>
      <c r="R502" s="431">
        <f>Table146[[#This Row],[Red target threshold]]-Table146[[#This Row],[Red target threshold]]*0.5</f>
        <v>0</v>
      </c>
      <c r="S502" s="375"/>
      <c r="T502" s="401"/>
    </row>
    <row r="503" spans="1:21" x14ac:dyDescent="0.25">
      <c r="A503" s="389"/>
      <c r="B503" s="372"/>
      <c r="C503" s="372"/>
      <c r="D503" s="372"/>
      <c r="E503" s="382"/>
      <c r="F503" s="383"/>
      <c r="G503" s="384"/>
      <c r="H503" s="421"/>
      <c r="I503" s="375"/>
      <c r="J503" s="375"/>
      <c r="K503" s="375"/>
      <c r="L503" s="431">
        <f>Table146[[#This Row],[Green target threshold]]+Table146[[#This Row],[Green target threshold]]*0.5</f>
        <v>0</v>
      </c>
      <c r="M503" s="375"/>
      <c r="N503" s="375"/>
      <c r="O503" s="375"/>
      <c r="P503" s="431"/>
      <c r="Q503" s="431"/>
      <c r="R503" s="431">
        <f>Table146[[#This Row],[Red target threshold]]-Table146[[#This Row],[Red target threshold]]*0.5</f>
        <v>0</v>
      </c>
      <c r="S503" s="375"/>
      <c r="T503" s="401"/>
    </row>
    <row r="504" spans="1:21" x14ac:dyDescent="0.25">
      <c r="A504" s="389"/>
      <c r="B504" s="372"/>
      <c r="C504" s="372"/>
      <c r="D504" s="372"/>
      <c r="E504" s="382"/>
      <c r="F504" s="383"/>
      <c r="G504" s="384"/>
      <c r="H504" s="421"/>
      <c r="I504" s="375"/>
      <c r="J504" s="375"/>
      <c r="K504" s="375"/>
      <c r="L504" s="431">
        <f>Table146[[#This Row],[Green target threshold]]+Table146[[#This Row],[Green target threshold]]*0.5</f>
        <v>0</v>
      </c>
      <c r="M504" s="375"/>
      <c r="N504" s="375"/>
      <c r="O504" s="375"/>
      <c r="P504" s="431"/>
      <c r="Q504" s="431"/>
      <c r="R504" s="431">
        <f>Table146[[#This Row],[Red target threshold]]-Table146[[#This Row],[Red target threshold]]*0.5</f>
        <v>0</v>
      </c>
      <c r="S504" s="375"/>
      <c r="T504" s="401"/>
    </row>
    <row r="505" spans="1:21" x14ac:dyDescent="0.25">
      <c r="A505" s="389"/>
      <c r="B505" s="372"/>
      <c r="C505" s="372"/>
      <c r="D505" s="372"/>
      <c r="E505" s="382"/>
      <c r="F505" s="383"/>
      <c r="G505" s="384"/>
      <c r="H505" s="421"/>
      <c r="I505" s="375"/>
      <c r="J505" s="375"/>
      <c r="K505" s="375"/>
      <c r="L505" s="431">
        <f>Table146[[#This Row],[Green target threshold]]+Table146[[#This Row],[Green target threshold]]*0.5</f>
        <v>0</v>
      </c>
      <c r="M505" s="375"/>
      <c r="N505" s="375"/>
      <c r="O505" s="375"/>
      <c r="P505" s="431"/>
      <c r="Q505" s="431"/>
      <c r="R505" s="431">
        <f>Table146[[#This Row],[Red target threshold]]-Table146[[#This Row],[Red target threshold]]*0.5</f>
        <v>0</v>
      </c>
      <c r="S505" s="375"/>
      <c r="T505" s="401"/>
    </row>
    <row r="506" spans="1:21" s="386" customFormat="1" x14ac:dyDescent="0.25">
      <c r="A506" s="409"/>
      <c r="B506" s="406"/>
      <c r="C506" s="406"/>
      <c r="D506" s="406"/>
      <c r="E506" s="407">
        <v>2014</v>
      </c>
      <c r="F506" s="407">
        <v>2015</v>
      </c>
      <c r="G506" s="407">
        <v>2016</v>
      </c>
      <c r="H506" s="407"/>
      <c r="I506" s="407"/>
      <c r="J506" s="407"/>
      <c r="K506" s="407"/>
      <c r="L506" s="407">
        <f>Table146[[#This Row],[Green target threshold]]+Table146[[#This Row],[Green target threshold]]*0.5</f>
        <v>0</v>
      </c>
      <c r="M506" s="407"/>
      <c r="N506" s="407"/>
      <c r="O506" s="407"/>
      <c r="P506" s="407"/>
      <c r="Q506" s="407"/>
      <c r="R506" s="407">
        <f>Table146[[#This Row],[Red target threshold]]-Table146[[#This Row],[Red target threshold]]*0.5</f>
        <v>0</v>
      </c>
      <c r="S506" s="407"/>
      <c r="T506" s="413"/>
    </row>
    <row r="507" spans="1:21" x14ac:dyDescent="0.25">
      <c r="A507" s="418" t="s">
        <v>879</v>
      </c>
      <c r="B507" s="437" t="s">
        <v>881</v>
      </c>
      <c r="C507" s="437" t="s">
        <v>473</v>
      </c>
      <c r="D507" s="436" t="s">
        <v>904</v>
      </c>
      <c r="E507" s="420">
        <v>30.769568040539401</v>
      </c>
      <c r="F507" s="420">
        <v>30.744264405397601</v>
      </c>
      <c r="G507" s="420">
        <v>30.716420940782999</v>
      </c>
      <c r="H507" s="421">
        <v>2015</v>
      </c>
      <c r="I507" s="421">
        <v>30.744264405397601</v>
      </c>
      <c r="J507" s="421">
        <v>2015</v>
      </c>
      <c r="K507" s="411">
        <v>30.037500000000001</v>
      </c>
      <c r="L507" s="411">
        <f>Table146[[#This Row],[Green target threshold]]+Table146[[#This Row],[Green target threshold]]*0.5</f>
        <v>59.951315590525326</v>
      </c>
      <c r="M507" s="421">
        <f>Table146[[#This Row],[Data reference value]]+Table146[[#This Row],[Data reference value]]*Table146[[#This Row],[Improvement rate]]</f>
        <v>39.967543727016881</v>
      </c>
      <c r="N507" s="421">
        <v>0.3</v>
      </c>
      <c r="O507" s="421" t="s">
        <v>1140</v>
      </c>
      <c r="P507" s="421">
        <f>(Table146[[#This Row],[Green target threshold]]-Table146[[#This Row],[Model reference value]])*0.5+Table146[[#This Row],[Model reference value]]</f>
        <v>35.002521863508441</v>
      </c>
      <c r="Q507" s="421">
        <f>Table146[[#This Row],[Model reference value]]</f>
        <v>30.037500000000001</v>
      </c>
      <c r="R507" s="421">
        <f>Table146[[#This Row],[Red target threshold]]-Table146[[#This Row],[Red target threshold]]*0.5</f>
        <v>15.018750000000001</v>
      </c>
      <c r="S507" s="421"/>
      <c r="T507" s="419" t="s">
        <v>687</v>
      </c>
      <c r="U507" s="371" t="s">
        <v>936</v>
      </c>
    </row>
    <row r="508" spans="1:21" x14ac:dyDescent="0.25">
      <c r="A508" s="390"/>
      <c r="B508" s="369"/>
      <c r="C508" s="369"/>
      <c r="D508" s="369" t="s">
        <v>668</v>
      </c>
      <c r="E508" s="379">
        <v>74.110764433268599</v>
      </c>
      <c r="F508" s="380">
        <v>74.104579781831006</v>
      </c>
      <c r="G508" s="381">
        <v>74.098395130393499</v>
      </c>
      <c r="H508" s="421"/>
      <c r="I508" s="375"/>
      <c r="J508" s="375"/>
      <c r="K508" s="375"/>
      <c r="L508" s="375">
        <f>Table146[[#This Row],[Green target threshold]]+Table146[[#This Row],[Green target threshold]]*0.5</f>
        <v>0</v>
      </c>
      <c r="M508" s="375"/>
      <c r="N508" s="375"/>
      <c r="O508" s="375"/>
      <c r="P508" s="375"/>
      <c r="Q508" s="375"/>
      <c r="R508" s="375">
        <f>Table146[[#This Row],[Red target threshold]]-Table146[[#This Row],[Red target threshold]]*0.5</f>
        <v>0</v>
      </c>
      <c r="S508" s="375"/>
      <c r="T508" s="396"/>
    </row>
    <row r="509" spans="1:21" x14ac:dyDescent="0.25">
      <c r="A509" s="390"/>
      <c r="B509" s="369"/>
      <c r="C509" s="369"/>
      <c r="D509" s="369" t="s">
        <v>669</v>
      </c>
      <c r="E509" s="379">
        <v>73.111981309026305</v>
      </c>
      <c r="F509" s="380">
        <v>73.107169885821506</v>
      </c>
      <c r="G509" s="381">
        <v>73.107169885821506</v>
      </c>
      <c r="H509" s="421"/>
      <c r="I509" s="375"/>
      <c r="J509" s="375"/>
      <c r="K509" s="375"/>
      <c r="L509" s="375">
        <f>Table146[[#This Row],[Green target threshold]]+Table146[[#This Row],[Green target threshold]]*0.5</f>
        <v>0</v>
      </c>
      <c r="M509" s="375"/>
      <c r="N509" s="375"/>
      <c r="O509" s="375"/>
      <c r="P509" s="375"/>
      <c r="Q509" s="375"/>
      <c r="R509" s="375">
        <f>Table146[[#This Row],[Red target threshold]]-Table146[[#This Row],[Red target threshold]]*0.5</f>
        <v>0</v>
      </c>
      <c r="S509" s="375"/>
      <c r="T509" s="396"/>
    </row>
    <row r="510" spans="1:21" x14ac:dyDescent="0.25">
      <c r="A510" s="390"/>
      <c r="B510" s="369"/>
      <c r="C510" s="369"/>
      <c r="D510" s="369" t="s">
        <v>670</v>
      </c>
      <c r="E510" s="379">
        <v>72.015374896486705</v>
      </c>
      <c r="F510" s="380">
        <v>72.275624181636999</v>
      </c>
      <c r="G510" s="381">
        <v>72.484536714605994</v>
      </c>
      <c r="H510" s="421"/>
      <c r="I510" s="375"/>
      <c r="J510" s="375"/>
      <c r="K510" s="375"/>
      <c r="L510" s="375">
        <f>Table146[[#This Row],[Green target threshold]]+Table146[[#This Row],[Green target threshold]]*0.5</f>
        <v>0</v>
      </c>
      <c r="M510" s="375"/>
      <c r="N510" s="375"/>
      <c r="O510" s="375"/>
      <c r="P510" s="375"/>
      <c r="Q510" s="375"/>
      <c r="R510" s="375">
        <f>Table146[[#This Row],[Red target threshold]]-Table146[[#This Row],[Red target threshold]]*0.5</f>
        <v>0</v>
      </c>
      <c r="S510" s="375"/>
      <c r="T510" s="396"/>
    </row>
    <row r="511" spans="1:21" x14ac:dyDescent="0.25">
      <c r="A511" s="390"/>
      <c r="B511" s="369"/>
      <c r="C511" s="369"/>
      <c r="D511" s="369" t="s">
        <v>671</v>
      </c>
      <c r="E511" s="379">
        <v>68.922933392256496</v>
      </c>
      <c r="F511" s="380">
        <v>68.922933392256496</v>
      </c>
      <c r="G511" s="381">
        <v>68.922933392256496</v>
      </c>
      <c r="H511" s="421"/>
      <c r="I511" s="375"/>
      <c r="J511" s="375"/>
      <c r="K511" s="375"/>
      <c r="L511" s="375">
        <f>Table146[[#This Row],[Green target threshold]]+Table146[[#This Row],[Green target threshold]]*0.5</f>
        <v>0</v>
      </c>
      <c r="M511" s="375"/>
      <c r="N511" s="375"/>
      <c r="O511" s="375"/>
      <c r="P511" s="375"/>
      <c r="Q511" s="375"/>
      <c r="R511" s="375">
        <f>Table146[[#This Row],[Red target threshold]]-Table146[[#This Row],[Red target threshold]]*0.5</f>
        <v>0</v>
      </c>
      <c r="S511" s="375"/>
      <c r="T511" s="396"/>
    </row>
    <row r="512" spans="1:21" x14ac:dyDescent="0.25">
      <c r="A512" s="390"/>
      <c r="B512" s="369"/>
      <c r="C512" s="369"/>
      <c r="D512" s="369" t="s">
        <v>672</v>
      </c>
      <c r="E512" s="379">
        <v>67.511187889971097</v>
      </c>
      <c r="F512" s="380">
        <v>67.554405722112307</v>
      </c>
      <c r="G512" s="381">
        <v>67.597623554253502</v>
      </c>
      <c r="H512" s="421"/>
      <c r="I512" s="375"/>
      <c r="J512" s="375"/>
      <c r="K512" s="375"/>
      <c r="L512" s="375">
        <f>Table146[[#This Row],[Green target threshold]]+Table146[[#This Row],[Green target threshold]]*0.5</f>
        <v>0</v>
      </c>
      <c r="M512" s="375"/>
      <c r="N512" s="375"/>
      <c r="O512" s="375"/>
      <c r="P512" s="375"/>
      <c r="Q512" s="375"/>
      <c r="R512" s="375">
        <f>Table146[[#This Row],[Red target threshold]]-Table146[[#This Row],[Red target threshold]]*0.5</f>
        <v>0</v>
      </c>
      <c r="S512" s="375"/>
      <c r="T512" s="396"/>
    </row>
    <row r="513" spans="1:20" x14ac:dyDescent="0.25">
      <c r="A513" s="390"/>
      <c r="B513" s="369"/>
      <c r="C513" s="369"/>
      <c r="D513" s="369" t="s">
        <v>673</v>
      </c>
      <c r="E513" s="382">
        <v>7.2730927244842994E-2</v>
      </c>
      <c r="F513" s="383">
        <v>7.3333668190265697E-2</v>
      </c>
      <c r="G513" s="384">
        <v>7.3936409135688497E-2</v>
      </c>
      <c r="H513" s="421"/>
      <c r="I513" s="375"/>
      <c r="J513" s="375"/>
      <c r="K513" s="375"/>
      <c r="L513" s="375">
        <f>Table146[[#This Row],[Green target threshold]]+Table146[[#This Row],[Green target threshold]]*0.5</f>
        <v>0</v>
      </c>
      <c r="M513" s="375"/>
      <c r="N513" s="375"/>
      <c r="O513" s="375"/>
      <c r="P513" s="375"/>
      <c r="Q513" s="375"/>
      <c r="R513" s="375">
        <f>Table146[[#This Row],[Red target threshold]]-Table146[[#This Row],[Red target threshold]]*0.5</f>
        <v>0</v>
      </c>
      <c r="S513" s="375"/>
      <c r="T513" s="396"/>
    </row>
    <row r="514" spans="1:20" x14ac:dyDescent="0.25">
      <c r="A514" s="390"/>
      <c r="B514" s="369"/>
      <c r="C514" s="369"/>
      <c r="D514" s="369" t="s">
        <v>674</v>
      </c>
      <c r="E514" s="382">
        <v>0.123327687918433</v>
      </c>
      <c r="F514" s="383">
        <v>0.123327687918433</v>
      </c>
      <c r="G514" s="384">
        <v>0.123327687918433</v>
      </c>
      <c r="H514" s="421"/>
      <c r="I514" s="375"/>
      <c r="J514" s="375"/>
      <c r="K514" s="375"/>
      <c r="L514" s="375">
        <f>Table146[[#This Row],[Green target threshold]]+Table146[[#This Row],[Green target threshold]]*0.5</f>
        <v>0</v>
      </c>
      <c r="M514" s="375"/>
      <c r="N514" s="375"/>
      <c r="O514" s="375"/>
      <c r="P514" s="375"/>
      <c r="Q514" s="375"/>
      <c r="R514" s="375">
        <f>Table146[[#This Row],[Red target threshold]]-Table146[[#This Row],[Red target threshold]]*0.5</f>
        <v>0</v>
      </c>
      <c r="S514" s="375"/>
      <c r="T514" s="396"/>
    </row>
    <row r="515" spans="1:20" x14ac:dyDescent="0.25">
      <c r="A515" s="390"/>
      <c r="B515" s="369"/>
      <c r="C515" s="369"/>
      <c r="D515" s="369" t="s">
        <v>675</v>
      </c>
      <c r="E515" s="382">
        <v>0.81805739686702195</v>
      </c>
      <c r="F515" s="383">
        <v>0.82124833105208805</v>
      </c>
      <c r="G515" s="384">
        <v>0.82443926523715405</v>
      </c>
      <c r="H515" s="421"/>
      <c r="I515" s="375"/>
      <c r="J515" s="375"/>
      <c r="K515" s="375"/>
      <c r="L515" s="375">
        <f>Table146[[#This Row],[Green target threshold]]+Table146[[#This Row],[Green target threshold]]*0.5</f>
        <v>0</v>
      </c>
      <c r="M515" s="375"/>
      <c r="N515" s="375"/>
      <c r="O515" s="375"/>
      <c r="P515" s="375"/>
      <c r="Q515" s="375"/>
      <c r="R515" s="375">
        <f>Table146[[#This Row],[Red target threshold]]-Table146[[#This Row],[Red target threshold]]*0.5</f>
        <v>0</v>
      </c>
      <c r="S515" s="375"/>
      <c r="T515" s="396"/>
    </row>
    <row r="516" spans="1:20" x14ac:dyDescent="0.25">
      <c r="A516" s="390"/>
      <c r="B516" s="369"/>
      <c r="C516" s="369"/>
      <c r="D516" s="369" t="s">
        <v>676</v>
      </c>
      <c r="E516" s="382">
        <v>0.91134445757800597</v>
      </c>
      <c r="F516" s="383">
        <v>0.90155522223099405</v>
      </c>
      <c r="G516" s="384">
        <v>0.89176598688398201</v>
      </c>
      <c r="H516" s="421"/>
      <c r="I516" s="375"/>
      <c r="J516" s="375"/>
      <c r="K516" s="375"/>
      <c r="L516" s="375">
        <f>Table146[[#This Row],[Green target threshold]]+Table146[[#This Row],[Green target threshold]]*0.5</f>
        <v>0</v>
      </c>
      <c r="M516" s="375"/>
      <c r="N516" s="375"/>
      <c r="O516" s="375"/>
      <c r="P516" s="375"/>
      <c r="Q516" s="375"/>
      <c r="R516" s="375">
        <f>Table146[[#This Row],[Red target threshold]]-Table146[[#This Row],[Red target threshold]]*0.5</f>
        <v>0</v>
      </c>
      <c r="S516" s="375"/>
      <c r="T516" s="396"/>
    </row>
    <row r="517" spans="1:20" x14ac:dyDescent="0.25">
      <c r="A517" s="390"/>
      <c r="B517" s="369"/>
      <c r="C517" s="369"/>
      <c r="D517" s="369" t="s">
        <v>677</v>
      </c>
      <c r="E517" s="382">
        <v>1.22569174352706</v>
      </c>
      <c r="F517" s="383">
        <v>1.22569174352706</v>
      </c>
      <c r="G517" s="384">
        <v>1.22569174352706</v>
      </c>
      <c r="H517" s="421"/>
      <c r="I517" s="375"/>
      <c r="J517" s="375"/>
      <c r="K517" s="375"/>
      <c r="L517" s="375">
        <f>Table146[[#This Row],[Green target threshold]]+Table146[[#This Row],[Green target threshold]]*0.5</f>
        <v>0</v>
      </c>
      <c r="M517" s="375"/>
      <c r="N517" s="375"/>
      <c r="O517" s="375"/>
      <c r="P517" s="375"/>
      <c r="Q517" s="375"/>
      <c r="R517" s="375">
        <f>Table146[[#This Row],[Red target threshold]]-Table146[[#This Row],[Red target threshold]]*0.5</f>
        <v>0</v>
      </c>
      <c r="S517" s="375"/>
      <c r="T517" s="396"/>
    </row>
    <row r="518" spans="1:20" s="387" customFormat="1" x14ac:dyDescent="0.25">
      <c r="A518" s="410"/>
      <c r="B518" s="415"/>
      <c r="C518" s="415"/>
      <c r="D518" s="415"/>
      <c r="E518" s="417">
        <v>2005</v>
      </c>
      <c r="F518" s="417">
        <v>2010</v>
      </c>
      <c r="G518" s="417">
        <v>2020</v>
      </c>
      <c r="H518" s="417"/>
      <c r="I518" s="417"/>
      <c r="J518" s="417"/>
      <c r="K518" s="417"/>
      <c r="L518" s="417">
        <f>Table146[[#This Row],[Green target threshold]]+Table146[[#This Row],[Green target threshold]]*0.5</f>
        <v>0</v>
      </c>
      <c r="M518" s="417"/>
      <c r="N518" s="417"/>
      <c r="O518" s="417"/>
      <c r="P518" s="417"/>
      <c r="Q518" s="417"/>
      <c r="R518" s="417">
        <f>Table146[[#This Row],[Red target threshold]]-Table146[[#This Row],[Red target threshold]]*0.5</f>
        <v>0</v>
      </c>
      <c r="S518" s="417"/>
      <c r="T518" s="412"/>
    </row>
    <row r="519" spans="1:20" s="362" customFormat="1" x14ac:dyDescent="0.25">
      <c r="A519" s="418" t="s">
        <v>964</v>
      </c>
      <c r="B519" s="436" t="s">
        <v>28</v>
      </c>
      <c r="C519" s="437" t="s">
        <v>965</v>
      </c>
      <c r="D519" s="436" t="s">
        <v>904</v>
      </c>
      <c r="E519" s="420">
        <v>3725.0472</v>
      </c>
      <c r="F519" s="420">
        <v>3708.1455999999998</v>
      </c>
      <c r="G519" s="420">
        <v>3697.7395999999999</v>
      </c>
      <c r="H519" s="421">
        <v>2020</v>
      </c>
      <c r="I519" s="421">
        <v>3697.7395999999999</v>
      </c>
      <c r="J519" s="421">
        <v>2015</v>
      </c>
      <c r="K519" s="411">
        <v>3876.04</v>
      </c>
      <c r="L519" s="411">
        <f>Table146[[#This Row],[Green target threshold]]+Table146[[#This Row],[Green target threshold]]*0.5</f>
        <v>7210.5922200000005</v>
      </c>
      <c r="M519" s="421">
        <f>Table146[[#This Row],[Data reference value]]+Table146[[#This Row],[Data reference value]]*Table146[[#This Row],[Improvement rate]]</f>
        <v>4807.0614800000003</v>
      </c>
      <c r="N519" s="421">
        <v>0.3</v>
      </c>
      <c r="O519" s="421" t="s">
        <v>1140</v>
      </c>
      <c r="P519" s="421">
        <f>(Table146[[#This Row],[Green target threshold]]-Table146[[#This Row],[Model reference value]])*0.5+Table146[[#This Row],[Model reference value]]</f>
        <v>4341.5507400000006</v>
      </c>
      <c r="Q519" s="421">
        <f>Table146[[#This Row],[Model reference value]]</f>
        <v>3876.04</v>
      </c>
      <c r="R519" s="421">
        <f>Table146[[#This Row],[Red target threshold]]-Table146[[#This Row],[Red target threshold]]*0.5</f>
        <v>1938.02</v>
      </c>
      <c r="S519" s="421" t="s">
        <v>1124</v>
      </c>
      <c r="T519" s="419" t="s">
        <v>979</v>
      </c>
    </row>
    <row r="520" spans="1:20" s="362" customFormat="1" ht="30" x14ac:dyDescent="0.25">
      <c r="A520" s="389"/>
      <c r="B520" s="372"/>
      <c r="C520" s="372"/>
      <c r="D520" s="372" t="s">
        <v>975</v>
      </c>
      <c r="E520" s="379">
        <v>1164.75264511718</v>
      </c>
      <c r="F520" s="380">
        <v>1163.8596947265601</v>
      </c>
      <c r="G520" s="381">
        <v>1169.8245865234301</v>
      </c>
      <c r="H520" s="421"/>
      <c r="I520" s="375"/>
      <c r="J520" s="375"/>
      <c r="K520" s="375"/>
      <c r="L520" s="375">
        <f>Table146[[#This Row],[Green target threshold]]+Table146[[#This Row],[Green target threshold]]*0.5</f>
        <v>0</v>
      </c>
      <c r="M520" s="375"/>
      <c r="N520" s="375"/>
      <c r="O520" s="375"/>
      <c r="P520" s="375"/>
      <c r="Q520" s="375"/>
      <c r="R520" s="375">
        <f>Table146[[#This Row],[Red target threshold]]-Table146[[#This Row],[Red target threshold]]*0.5</f>
        <v>0</v>
      </c>
      <c r="S520" s="375"/>
      <c r="T520" s="399"/>
    </row>
    <row r="521" spans="1:20" s="362" customFormat="1" x14ac:dyDescent="0.25">
      <c r="A521" s="389"/>
      <c r="B521" s="372"/>
      <c r="C521" s="372"/>
      <c r="D521" s="372" t="s">
        <v>972</v>
      </c>
      <c r="E521" s="379">
        <v>1096.09805351562</v>
      </c>
      <c r="F521" s="380">
        <v>1103.73515585937</v>
      </c>
      <c r="G521" s="381">
        <v>1132.18370820312</v>
      </c>
      <c r="H521" s="421"/>
      <c r="I521" s="375"/>
      <c r="J521" s="375"/>
      <c r="K521" s="375"/>
      <c r="L521" s="375">
        <f>Table146[[#This Row],[Green target threshold]]+Table146[[#This Row],[Green target threshold]]*0.5</f>
        <v>0</v>
      </c>
      <c r="M521" s="375"/>
      <c r="N521" s="375"/>
      <c r="O521" s="375"/>
      <c r="P521" s="375"/>
      <c r="Q521" s="375"/>
      <c r="R521" s="375">
        <f>Table146[[#This Row],[Red target threshold]]-Table146[[#This Row],[Red target threshold]]*0.5</f>
        <v>0</v>
      </c>
      <c r="S521" s="375"/>
      <c r="T521" s="399"/>
    </row>
    <row r="522" spans="1:20" s="362" customFormat="1" x14ac:dyDescent="0.25">
      <c r="A522" s="389"/>
      <c r="B522" s="372"/>
      <c r="C522" s="372"/>
      <c r="D522" s="372" t="s">
        <v>977</v>
      </c>
      <c r="E522" s="379">
        <v>741.06497343750004</v>
      </c>
      <c r="F522" s="380">
        <v>728.92406093750003</v>
      </c>
      <c r="G522" s="381">
        <v>711.25087656250003</v>
      </c>
      <c r="H522" s="421"/>
      <c r="I522" s="375"/>
      <c r="J522" s="375"/>
      <c r="K522" s="375"/>
      <c r="L522" s="375">
        <f>Table146[[#This Row],[Green target threshold]]+Table146[[#This Row],[Green target threshold]]*0.5</f>
        <v>0</v>
      </c>
      <c r="M522" s="375"/>
      <c r="N522" s="375"/>
      <c r="O522" s="375"/>
      <c r="P522" s="375"/>
      <c r="Q522" s="375"/>
      <c r="R522" s="375">
        <f>Table146[[#This Row],[Red target threshold]]-Table146[[#This Row],[Red target threshold]]*0.5</f>
        <v>0</v>
      </c>
      <c r="S522" s="375"/>
      <c r="T522" s="399"/>
    </row>
    <row r="523" spans="1:20" s="362" customFormat="1" x14ac:dyDescent="0.25">
      <c r="A523" s="389"/>
      <c r="B523" s="372"/>
      <c r="C523" s="372"/>
      <c r="D523" s="372"/>
      <c r="E523" s="379"/>
      <c r="F523" s="380"/>
      <c r="G523" s="381"/>
      <c r="H523" s="421"/>
      <c r="I523" s="375"/>
      <c r="J523" s="375"/>
      <c r="K523" s="375"/>
      <c r="L523" s="431">
        <f>Table146[[#This Row],[Green target threshold]]+Table146[[#This Row],[Green target threshold]]*0.5</f>
        <v>0</v>
      </c>
      <c r="M523" s="375"/>
      <c r="N523" s="375"/>
      <c r="O523" s="375"/>
      <c r="P523" s="431"/>
      <c r="Q523" s="431"/>
      <c r="R523" s="431">
        <f>Table146[[#This Row],[Red target threshold]]-Table146[[#This Row],[Red target threshold]]*0.5</f>
        <v>0</v>
      </c>
      <c r="S523" s="375"/>
      <c r="T523" s="399"/>
    </row>
    <row r="524" spans="1:20" s="362" customFormat="1" x14ac:dyDescent="0.25">
      <c r="A524" s="389"/>
      <c r="B524" s="372"/>
      <c r="C524" s="372"/>
      <c r="D524" s="372"/>
      <c r="E524" s="379"/>
      <c r="F524" s="380"/>
      <c r="G524" s="381"/>
      <c r="H524" s="421"/>
      <c r="I524" s="375"/>
      <c r="J524" s="375"/>
      <c r="K524" s="375"/>
      <c r="L524" s="431">
        <f>Table146[[#This Row],[Green target threshold]]+Table146[[#This Row],[Green target threshold]]*0.5</f>
        <v>0</v>
      </c>
      <c r="M524" s="375"/>
      <c r="N524" s="375"/>
      <c r="O524" s="375"/>
      <c r="P524" s="431"/>
      <c r="Q524" s="431"/>
      <c r="R524" s="431">
        <f>Table146[[#This Row],[Red target threshold]]-Table146[[#This Row],[Red target threshold]]*0.5</f>
        <v>0</v>
      </c>
      <c r="S524" s="375"/>
      <c r="T524" s="399"/>
    </row>
    <row r="525" spans="1:20" s="362" customFormat="1" x14ac:dyDescent="0.25">
      <c r="A525" s="389"/>
      <c r="B525" s="372"/>
      <c r="C525" s="372"/>
      <c r="D525" s="372" t="s">
        <v>974</v>
      </c>
      <c r="E525" s="382">
        <v>434.45220859375002</v>
      </c>
      <c r="F525" s="383">
        <v>426.61628124999999</v>
      </c>
      <c r="G525" s="384">
        <v>415.74024140624999</v>
      </c>
      <c r="H525" s="421"/>
      <c r="I525" s="375"/>
      <c r="J525" s="375"/>
      <c r="K525" s="375"/>
      <c r="L525" s="375">
        <f>Table146[[#This Row],[Green target threshold]]+Table146[[#This Row],[Green target threshold]]*0.5</f>
        <v>0</v>
      </c>
      <c r="M525" s="375"/>
      <c r="N525" s="375"/>
      <c r="O525" s="375"/>
      <c r="P525" s="375"/>
      <c r="Q525" s="375"/>
      <c r="R525" s="375">
        <f>Table146[[#This Row],[Red target threshold]]-Table146[[#This Row],[Red target threshold]]*0.5</f>
        <v>0</v>
      </c>
      <c r="S525" s="375"/>
      <c r="T525" s="399"/>
    </row>
    <row r="526" spans="1:20" s="362" customFormat="1" x14ac:dyDescent="0.25">
      <c r="A526" s="389"/>
      <c r="B526" s="372"/>
      <c r="C526" s="372"/>
      <c r="D526" s="372" t="s">
        <v>976</v>
      </c>
      <c r="E526" s="382">
        <v>288.67952734375001</v>
      </c>
      <c r="F526" s="383">
        <v>285.01043046874997</v>
      </c>
      <c r="G526" s="384">
        <v>268.73964550781199</v>
      </c>
      <c r="H526" s="421"/>
      <c r="I526" s="375"/>
      <c r="J526" s="375"/>
      <c r="K526" s="375"/>
      <c r="L526" s="375">
        <f>Table146[[#This Row],[Green target threshold]]+Table146[[#This Row],[Green target threshold]]*0.5</f>
        <v>0</v>
      </c>
      <c r="M526" s="375"/>
      <c r="N526" s="375"/>
      <c r="O526" s="375"/>
      <c r="P526" s="375"/>
      <c r="Q526" s="375"/>
      <c r="R526" s="375">
        <f>Table146[[#This Row],[Red target threshold]]-Table146[[#This Row],[Red target threshold]]*0.5</f>
        <v>0</v>
      </c>
      <c r="S526" s="375"/>
      <c r="T526" s="399"/>
    </row>
    <row r="527" spans="1:20" s="362" customFormat="1" x14ac:dyDescent="0.25">
      <c r="A527" s="389"/>
      <c r="B527" s="372"/>
      <c r="C527" s="372"/>
      <c r="D527" s="372"/>
      <c r="E527" s="382"/>
      <c r="F527" s="383"/>
      <c r="G527" s="384"/>
      <c r="H527" s="421"/>
      <c r="I527" s="375"/>
      <c r="J527" s="375"/>
      <c r="K527" s="375"/>
      <c r="L527" s="431">
        <f>Table146[[#This Row],[Green target threshold]]+Table146[[#This Row],[Green target threshold]]*0.5</f>
        <v>0</v>
      </c>
      <c r="M527" s="375"/>
      <c r="N527" s="375"/>
      <c r="O527" s="375"/>
      <c r="P527" s="431"/>
      <c r="Q527" s="431"/>
      <c r="R527" s="431">
        <f>Table146[[#This Row],[Red target threshold]]-Table146[[#This Row],[Red target threshold]]*0.5</f>
        <v>0</v>
      </c>
      <c r="S527" s="375"/>
      <c r="T527" s="399"/>
    </row>
    <row r="528" spans="1:20" s="362" customFormat="1" x14ac:dyDescent="0.25">
      <c r="A528" s="389"/>
      <c r="B528" s="372"/>
      <c r="C528" s="372"/>
      <c r="D528" s="372"/>
      <c r="E528" s="382"/>
      <c r="F528" s="383"/>
      <c r="G528" s="384"/>
      <c r="H528" s="421"/>
      <c r="I528" s="375"/>
      <c r="J528" s="375"/>
      <c r="K528" s="375"/>
      <c r="L528" s="431">
        <f>Table146[[#This Row],[Green target threshold]]+Table146[[#This Row],[Green target threshold]]*0.5</f>
        <v>0</v>
      </c>
      <c r="M528" s="375"/>
      <c r="N528" s="375"/>
      <c r="O528" s="375"/>
      <c r="P528" s="431"/>
      <c r="Q528" s="431"/>
      <c r="R528" s="431">
        <f>Table146[[#This Row],[Red target threshold]]-Table146[[#This Row],[Red target threshold]]*0.5</f>
        <v>0</v>
      </c>
      <c r="S528" s="375"/>
      <c r="T528" s="399"/>
    </row>
    <row r="529" spans="1:22" s="362" customFormat="1" x14ac:dyDescent="0.25">
      <c r="A529" s="389"/>
      <c r="B529" s="372"/>
      <c r="C529" s="372"/>
      <c r="D529" s="372"/>
      <c r="E529" s="382"/>
      <c r="F529" s="383"/>
      <c r="G529" s="384"/>
      <c r="H529" s="421"/>
      <c r="I529" s="375"/>
      <c r="J529" s="375"/>
      <c r="K529" s="375"/>
      <c r="L529" s="431">
        <f>Table146[[#This Row],[Green target threshold]]+Table146[[#This Row],[Green target threshold]]*0.5</f>
        <v>0</v>
      </c>
      <c r="M529" s="375"/>
      <c r="N529" s="375"/>
      <c r="O529" s="375"/>
      <c r="P529" s="431"/>
      <c r="Q529" s="431"/>
      <c r="R529" s="431">
        <f>Table146[[#This Row],[Red target threshold]]-Table146[[#This Row],[Red target threshold]]*0.5</f>
        <v>0</v>
      </c>
      <c r="S529" s="375"/>
      <c r="T529" s="399"/>
    </row>
    <row r="530" spans="1:22" s="386" customFormat="1" x14ac:dyDescent="0.25">
      <c r="A530" s="409"/>
      <c r="B530" s="406"/>
      <c r="C530" s="406"/>
      <c r="D530" s="406"/>
      <c r="E530" s="407"/>
      <c r="F530" s="407"/>
      <c r="G530" s="407">
        <v>2000</v>
      </c>
      <c r="H530" s="407"/>
      <c r="I530" s="407"/>
      <c r="J530" s="407"/>
      <c r="K530" s="407"/>
      <c r="L530" s="407">
        <f>Table146[[#This Row],[Green target threshold]]+Table146[[#This Row],[Green target threshold]]*0.5</f>
        <v>0</v>
      </c>
      <c r="M530" s="407"/>
      <c r="N530" s="407"/>
      <c r="O530" s="407"/>
      <c r="P530" s="407"/>
      <c r="Q530" s="407"/>
      <c r="R530" s="407">
        <f>Table146[[#This Row],[Red target threshold]]-Table146[[#This Row],[Red target threshold]]*0.5</f>
        <v>0</v>
      </c>
      <c r="S530" s="407"/>
      <c r="T530" s="413"/>
    </row>
    <row r="531" spans="1:22" x14ac:dyDescent="0.25">
      <c r="A531" s="418" t="s">
        <v>883</v>
      </c>
      <c r="B531" s="437" t="s">
        <v>884</v>
      </c>
      <c r="C531" s="437" t="s">
        <v>473</v>
      </c>
      <c r="D531" s="436" t="s">
        <v>904</v>
      </c>
      <c r="E531" s="420"/>
      <c r="F531" s="420"/>
      <c r="G531" s="420">
        <v>70</v>
      </c>
      <c r="H531" s="421">
        <v>2000</v>
      </c>
      <c r="I531" s="421">
        <v>70</v>
      </c>
      <c r="J531" s="421">
        <v>2015</v>
      </c>
      <c r="K531" s="411">
        <v>42.328600000000002</v>
      </c>
      <c r="L531" s="411">
        <v>100</v>
      </c>
      <c r="M531" s="421">
        <v>70</v>
      </c>
      <c r="N531" s="421"/>
      <c r="O531" s="421" t="s">
        <v>982</v>
      </c>
      <c r="P531" s="421">
        <f>(M531-K531)*0.5+K531</f>
        <v>56.164299999999997</v>
      </c>
      <c r="Q531" s="421">
        <f>K531</f>
        <v>42.328600000000002</v>
      </c>
      <c r="R531" s="421">
        <f>Table146[[#This Row],[Red target threshold]]-Table146[[#This Row],[Red target threshold]]*0.5</f>
        <v>21.164300000000001</v>
      </c>
      <c r="S531" s="421" t="s">
        <v>1037</v>
      </c>
      <c r="T531" s="419" t="s">
        <v>890</v>
      </c>
    </row>
    <row r="532" spans="1:22" x14ac:dyDescent="0.25">
      <c r="A532" s="390"/>
      <c r="B532" s="369"/>
      <c r="C532" s="369"/>
      <c r="D532" s="372" t="s">
        <v>893</v>
      </c>
      <c r="E532" s="379"/>
      <c r="F532" s="380"/>
      <c r="G532" s="381">
        <v>87</v>
      </c>
      <c r="H532" s="421">
        <v>2000</v>
      </c>
      <c r="I532" s="375">
        <v>87</v>
      </c>
      <c r="J532" s="375"/>
      <c r="K532" s="375"/>
      <c r="L532" s="375">
        <f>Table146[[#This Row],[Green target threshold]]+Table146[[#This Row],[Green target threshold]]*0.5</f>
        <v>0</v>
      </c>
      <c r="M532" s="375"/>
      <c r="N532" s="375"/>
      <c r="O532" s="375"/>
      <c r="P532" s="375"/>
      <c r="Q532" s="375"/>
      <c r="R532" s="375">
        <f>Table146[[#This Row],[Red target threshold]]-Table146[[#This Row],[Red target threshold]]*0.5</f>
        <v>0</v>
      </c>
      <c r="S532" s="375"/>
      <c r="T532" s="396"/>
    </row>
    <row r="533" spans="1:22" x14ac:dyDescent="0.25">
      <c r="A533" s="390"/>
      <c r="B533" s="369"/>
      <c r="C533" s="369"/>
      <c r="D533" s="372" t="s">
        <v>894</v>
      </c>
      <c r="E533" s="379"/>
      <c r="F533" s="380"/>
      <c r="G533" s="381">
        <v>78</v>
      </c>
      <c r="H533" s="421">
        <v>2000</v>
      </c>
      <c r="I533" s="375">
        <v>78</v>
      </c>
      <c r="J533" s="375"/>
      <c r="K533" s="375"/>
      <c r="L533" s="375">
        <f>Table146[[#This Row],[Green target threshold]]+Table146[[#This Row],[Green target threshold]]*0.5</f>
        <v>0</v>
      </c>
      <c r="M533" s="375"/>
      <c r="N533" s="375"/>
      <c r="O533" s="375"/>
      <c r="P533" s="375"/>
      <c r="Q533" s="375"/>
      <c r="R533" s="375">
        <f>Table146[[#This Row],[Red target threshold]]-Table146[[#This Row],[Red target threshold]]*0.5</f>
        <v>0</v>
      </c>
      <c r="S533" s="375"/>
      <c r="T533" s="396"/>
    </row>
    <row r="534" spans="1:22" x14ac:dyDescent="0.25">
      <c r="A534" s="390"/>
      <c r="B534" s="369"/>
      <c r="C534" s="369"/>
      <c r="D534" s="372" t="s">
        <v>897</v>
      </c>
      <c r="E534" s="379"/>
      <c r="F534" s="380"/>
      <c r="G534" s="381">
        <v>76</v>
      </c>
      <c r="H534" s="421">
        <v>2000</v>
      </c>
      <c r="I534" s="375">
        <v>76</v>
      </c>
      <c r="J534" s="375"/>
      <c r="K534" s="375"/>
      <c r="L534" s="375">
        <f>Table146[[#This Row],[Green target threshold]]+Table146[[#This Row],[Green target threshold]]*0.5</f>
        <v>0</v>
      </c>
      <c r="M534" s="375"/>
      <c r="N534" s="375"/>
      <c r="O534" s="375"/>
      <c r="P534" s="375"/>
      <c r="Q534" s="375"/>
      <c r="R534" s="375">
        <f>Table146[[#This Row],[Red target threshold]]-Table146[[#This Row],[Red target threshold]]*0.5</f>
        <v>0</v>
      </c>
      <c r="S534" s="375"/>
      <c r="T534" s="401"/>
    </row>
    <row r="535" spans="1:22" x14ac:dyDescent="0.25">
      <c r="A535" s="390"/>
      <c r="B535" s="369"/>
      <c r="C535" s="369"/>
      <c r="D535" s="372" t="s">
        <v>898</v>
      </c>
      <c r="E535" s="379"/>
      <c r="F535" s="380"/>
      <c r="G535" s="381">
        <v>76</v>
      </c>
      <c r="H535" s="421">
        <v>2000</v>
      </c>
      <c r="I535" s="375">
        <v>76</v>
      </c>
      <c r="J535" s="375"/>
      <c r="K535" s="375"/>
      <c r="L535" s="375">
        <f>Table146[[#This Row],[Green target threshold]]+Table146[[#This Row],[Green target threshold]]*0.5</f>
        <v>0</v>
      </c>
      <c r="M535" s="375"/>
      <c r="N535" s="375"/>
      <c r="O535" s="375"/>
      <c r="P535" s="375"/>
      <c r="Q535" s="375"/>
      <c r="R535" s="375">
        <f>Table146[[#This Row],[Red target threshold]]-Table146[[#This Row],[Red target threshold]]*0.5</f>
        <v>0</v>
      </c>
      <c r="S535" s="375"/>
      <c r="T535" s="398"/>
    </row>
    <row r="536" spans="1:22" x14ac:dyDescent="0.25">
      <c r="A536" s="390"/>
      <c r="B536" s="369"/>
      <c r="C536" s="369"/>
      <c r="D536" s="372" t="s">
        <v>895</v>
      </c>
      <c r="E536" s="382"/>
      <c r="F536" s="383"/>
      <c r="G536" s="384">
        <v>75</v>
      </c>
      <c r="H536" s="421">
        <v>2000</v>
      </c>
      <c r="I536" s="375">
        <v>75</v>
      </c>
      <c r="J536" s="375"/>
      <c r="K536" s="375"/>
      <c r="L536" s="375">
        <f>Table146[[#This Row],[Green target threshold]]+Table146[[#This Row],[Green target threshold]]*0.5</f>
        <v>0</v>
      </c>
      <c r="M536" s="375"/>
      <c r="N536" s="375"/>
      <c r="O536" s="375"/>
      <c r="P536" s="375"/>
      <c r="Q536" s="375"/>
      <c r="R536" s="375">
        <f>Table146[[#This Row],[Red target threshold]]-Table146[[#This Row],[Red target threshold]]*0.5</f>
        <v>0</v>
      </c>
      <c r="S536" s="375"/>
      <c r="T536" s="396"/>
    </row>
    <row r="537" spans="1:22" x14ac:dyDescent="0.25">
      <c r="A537" s="390"/>
      <c r="B537" s="369"/>
      <c r="C537" s="369"/>
      <c r="D537" s="372" t="s">
        <v>896</v>
      </c>
      <c r="E537" s="382"/>
      <c r="F537" s="383"/>
      <c r="G537" s="384">
        <v>73</v>
      </c>
      <c r="H537" s="421">
        <v>2000</v>
      </c>
      <c r="I537" s="375">
        <v>73</v>
      </c>
      <c r="J537" s="375"/>
      <c r="K537" s="375"/>
      <c r="L537" s="375">
        <f>Table146[[#This Row],[Green target threshold]]+Table146[[#This Row],[Green target threshold]]*0.5</f>
        <v>0</v>
      </c>
      <c r="M537" s="375"/>
      <c r="N537" s="375"/>
      <c r="O537" s="375"/>
      <c r="P537" s="375"/>
      <c r="Q537" s="375"/>
      <c r="R537" s="375">
        <f>Table146[[#This Row],[Red target threshold]]-Table146[[#This Row],[Red target threshold]]*0.5</f>
        <v>0</v>
      </c>
      <c r="S537" s="375"/>
      <c r="T537" s="396"/>
    </row>
    <row r="538" spans="1:22" x14ac:dyDescent="0.25">
      <c r="A538" s="390"/>
      <c r="B538" s="369"/>
      <c r="C538" s="369"/>
      <c r="D538" s="372" t="s">
        <v>899</v>
      </c>
      <c r="E538" s="382"/>
      <c r="F538" s="383"/>
      <c r="G538" s="384">
        <v>55</v>
      </c>
      <c r="H538" s="421">
        <v>2000</v>
      </c>
      <c r="I538" s="375">
        <v>55</v>
      </c>
      <c r="J538" s="375"/>
      <c r="K538" s="375"/>
      <c r="L538" s="375">
        <f>Table146[[#This Row],[Green target threshold]]+Table146[[#This Row],[Green target threshold]]*0.5</f>
        <v>0</v>
      </c>
      <c r="M538" s="375"/>
      <c r="N538" s="375"/>
      <c r="O538" s="375"/>
      <c r="P538" s="375"/>
      <c r="Q538" s="375"/>
      <c r="R538" s="375">
        <f>Table146[[#This Row],[Red target threshold]]-Table146[[#This Row],[Red target threshold]]*0.5</f>
        <v>0</v>
      </c>
      <c r="S538" s="375"/>
      <c r="T538" s="396"/>
    </row>
    <row r="539" spans="1:22" x14ac:dyDescent="0.25">
      <c r="A539" s="402"/>
      <c r="B539" s="370"/>
      <c r="C539" s="370"/>
      <c r="D539" s="400" t="s">
        <v>900</v>
      </c>
      <c r="E539" s="397"/>
      <c r="F539" s="395"/>
      <c r="G539" s="393">
        <v>45</v>
      </c>
      <c r="H539" s="421">
        <v>2000</v>
      </c>
      <c r="I539" s="392">
        <v>45</v>
      </c>
      <c r="J539" s="392"/>
      <c r="K539" s="392"/>
      <c r="L539" s="392">
        <f>Table146[[#This Row],[Green target threshold]]+Table146[[#This Row],[Green target threshold]]*0.5</f>
        <v>0</v>
      </c>
      <c r="M539" s="392"/>
      <c r="N539" s="392"/>
      <c r="O539" s="392"/>
      <c r="P539" s="392"/>
      <c r="Q539" s="392"/>
      <c r="R539" s="392">
        <f>Table146[[#This Row],[Red target threshold]]-Table146[[#This Row],[Red target threshold]]*0.5</f>
        <v>0</v>
      </c>
      <c r="S539" s="392"/>
      <c r="T539" s="404"/>
    </row>
    <row r="540" spans="1:22" x14ac:dyDescent="0.25">
      <c r="A540" s="376"/>
      <c r="B540" s="439"/>
      <c r="C540" s="439"/>
      <c r="D540" s="439"/>
      <c r="E540" s="376"/>
      <c r="F540" s="376"/>
      <c r="G540" s="376"/>
      <c r="T540" s="376"/>
      <c r="U540" s="376"/>
      <c r="V540" s="376"/>
    </row>
    <row r="541" spans="1:22" x14ac:dyDescent="0.25">
      <c r="A541" s="376"/>
      <c r="B541" s="439"/>
      <c r="C541" s="439"/>
      <c r="D541" s="439"/>
      <c r="E541" s="376"/>
      <c r="F541" s="376"/>
      <c r="G541" s="376"/>
      <c r="T541" s="376"/>
      <c r="U541" s="376"/>
      <c r="V541" s="376"/>
    </row>
    <row r="542" spans="1:22" x14ac:dyDescent="0.25">
      <c r="A542" s="376"/>
      <c r="B542" s="439"/>
      <c r="C542" s="439"/>
      <c r="D542" s="439"/>
      <c r="E542" s="376"/>
      <c r="F542" s="376"/>
      <c r="G542" s="376"/>
      <c r="T542" s="376"/>
      <c r="U542" s="376"/>
      <c r="V542" s="376"/>
    </row>
    <row r="543" spans="1:22" x14ac:dyDescent="0.25">
      <c r="A543" s="376"/>
      <c r="B543" s="439"/>
      <c r="C543" s="439"/>
      <c r="D543" s="439"/>
      <c r="E543" s="376"/>
      <c r="F543" s="376"/>
      <c r="G543" s="376"/>
      <c r="T543" s="376"/>
      <c r="U543" s="376"/>
      <c r="V543" s="376"/>
    </row>
    <row r="544" spans="1:22" x14ac:dyDescent="0.25">
      <c r="A544" s="376"/>
      <c r="B544" s="439"/>
      <c r="C544" s="439"/>
      <c r="D544" s="439"/>
      <c r="E544" s="376"/>
      <c r="F544" s="376"/>
      <c r="G544" s="376"/>
      <c r="T544" s="376"/>
      <c r="U544" s="376"/>
      <c r="V544" s="376"/>
    </row>
    <row r="545" spans="1:22" x14ac:dyDescent="0.25">
      <c r="A545" s="376"/>
      <c r="B545" s="439"/>
      <c r="C545" s="439"/>
      <c r="D545" s="439"/>
      <c r="E545" s="376"/>
      <c r="F545" s="376"/>
      <c r="G545" s="376"/>
      <c r="K545" s="405"/>
      <c r="L545" s="405"/>
      <c r="T545" s="376"/>
      <c r="U545" s="376"/>
      <c r="V545" s="376"/>
    </row>
    <row r="546" spans="1:22" x14ac:dyDescent="0.25">
      <c r="A546" s="376"/>
      <c r="B546" s="439"/>
      <c r="C546" s="439"/>
      <c r="D546" s="439"/>
      <c r="E546" s="376"/>
      <c r="F546" s="376"/>
      <c r="G546" s="376"/>
      <c r="T546" s="376"/>
      <c r="U546" s="376"/>
      <c r="V546" s="376"/>
    </row>
    <row r="547" spans="1:22" x14ac:dyDescent="0.25">
      <c r="A547" s="376"/>
      <c r="B547" s="439"/>
      <c r="C547" s="439"/>
      <c r="D547" s="439"/>
      <c r="E547" s="376"/>
      <c r="F547" s="376"/>
      <c r="G547" s="376"/>
      <c r="T547" s="376"/>
      <c r="U547" s="376"/>
      <c r="V547" s="376"/>
    </row>
    <row r="548" spans="1:22" x14ac:dyDescent="0.25">
      <c r="A548" s="376"/>
      <c r="B548" s="439"/>
      <c r="C548" s="439"/>
      <c r="D548" s="439"/>
      <c r="E548" s="376"/>
      <c r="F548" s="376"/>
      <c r="G548" s="376"/>
      <c r="T548" s="376"/>
      <c r="U548" s="376"/>
      <c r="V548" s="376"/>
    </row>
    <row r="549" spans="1:22" x14ac:dyDescent="0.25">
      <c r="A549" s="376"/>
      <c r="B549" s="439"/>
      <c r="C549" s="439"/>
      <c r="D549" s="439"/>
      <c r="E549" s="376"/>
      <c r="F549" s="376"/>
      <c r="G549" s="376"/>
      <c r="T549" s="376"/>
      <c r="U549" s="376"/>
      <c r="V549" s="376"/>
    </row>
    <row r="550" spans="1:22" x14ac:dyDescent="0.25">
      <c r="A550" s="376"/>
      <c r="B550" s="439"/>
      <c r="C550" s="439"/>
      <c r="D550" s="439"/>
      <c r="E550" s="376"/>
      <c r="F550" s="376"/>
      <c r="G550" s="376"/>
      <c r="T550" s="376"/>
      <c r="U550" s="376"/>
      <c r="V550" s="376"/>
    </row>
    <row r="551" spans="1:22" x14ac:dyDescent="0.25">
      <c r="A551" s="376"/>
      <c r="B551" s="439"/>
      <c r="C551" s="439"/>
      <c r="D551" s="439"/>
      <c r="E551" s="376"/>
      <c r="F551" s="376"/>
      <c r="G551" s="376"/>
      <c r="T551" s="376"/>
      <c r="U551" s="376"/>
      <c r="V551" s="376"/>
    </row>
    <row r="552" spans="1:22" x14ac:dyDescent="0.25">
      <c r="A552" s="376"/>
      <c r="B552" s="439"/>
      <c r="C552" s="439"/>
      <c r="D552" s="439"/>
      <c r="E552" s="376"/>
      <c r="F552" s="376"/>
      <c r="G552" s="376"/>
      <c r="T552" s="376"/>
      <c r="U552" s="376"/>
      <c r="V552" s="376"/>
    </row>
    <row r="553" spans="1:22" x14ac:dyDescent="0.25">
      <c r="A553" s="376"/>
      <c r="B553" s="439"/>
      <c r="C553" s="439"/>
      <c r="D553" s="439"/>
      <c r="E553" s="376"/>
      <c r="F553" s="376"/>
      <c r="G553" s="376"/>
      <c r="T553" s="376"/>
      <c r="U553" s="376"/>
      <c r="V553" s="376"/>
    </row>
    <row r="554" spans="1:22" x14ac:dyDescent="0.25">
      <c r="A554" s="376"/>
      <c r="B554" s="439"/>
      <c r="C554" s="439"/>
      <c r="D554" s="439"/>
      <c r="E554" s="376"/>
      <c r="F554" s="376"/>
      <c r="G554" s="376"/>
      <c r="T554" s="376"/>
      <c r="U554" s="376"/>
      <c r="V554" s="376"/>
    </row>
    <row r="555" spans="1:22" x14ac:dyDescent="0.25">
      <c r="A555" s="376"/>
      <c r="B555" s="439"/>
      <c r="C555" s="439"/>
      <c r="D555" s="439"/>
      <c r="E555" s="376"/>
      <c r="F555" s="376"/>
      <c r="G555" s="376"/>
      <c r="T555" s="376"/>
      <c r="U555" s="376"/>
      <c r="V555" s="376"/>
    </row>
    <row r="556" spans="1:22" x14ac:dyDescent="0.25">
      <c r="A556" s="376"/>
      <c r="B556" s="439"/>
      <c r="C556" s="439"/>
      <c r="D556" s="439"/>
      <c r="E556" s="376"/>
      <c r="F556" s="376"/>
      <c r="G556" s="376"/>
      <c r="T556" s="376"/>
      <c r="U556" s="376"/>
      <c r="V556" s="376"/>
    </row>
    <row r="557" spans="1:22" x14ac:dyDescent="0.25">
      <c r="A557" s="376"/>
      <c r="B557" s="439"/>
      <c r="C557" s="439"/>
      <c r="D557" s="439"/>
      <c r="E557" s="376"/>
      <c r="F557" s="376"/>
      <c r="G557" s="376"/>
      <c r="T557" s="376"/>
      <c r="U557" s="376"/>
      <c r="V557" s="376"/>
    </row>
    <row r="558" spans="1:22" x14ac:dyDescent="0.25">
      <c r="A558" s="376"/>
      <c r="B558" s="439"/>
      <c r="C558" s="439"/>
      <c r="D558" s="439"/>
      <c r="E558" s="376"/>
      <c r="F558" s="376"/>
      <c r="G558" s="376"/>
      <c r="T558" s="376"/>
      <c r="U558" s="376"/>
      <c r="V558" s="376"/>
    </row>
    <row r="559" spans="1:22" x14ac:dyDescent="0.25">
      <c r="A559" s="376"/>
      <c r="B559" s="439"/>
      <c r="C559" s="439"/>
      <c r="D559" s="439"/>
      <c r="E559" s="376"/>
      <c r="F559" s="376"/>
      <c r="G559" s="376"/>
      <c r="T559" s="376"/>
      <c r="U559" s="376"/>
      <c r="V559" s="376"/>
    </row>
    <row r="560" spans="1:22" x14ac:dyDescent="0.25">
      <c r="A560" s="376"/>
      <c r="B560" s="439"/>
      <c r="C560" s="439"/>
      <c r="D560" s="439"/>
      <c r="E560" s="376"/>
      <c r="F560" s="376"/>
      <c r="G560" s="376"/>
      <c r="T560" s="376"/>
      <c r="U560" s="376"/>
      <c r="V560" s="376"/>
    </row>
    <row r="561" spans="1:22" x14ac:dyDescent="0.25">
      <c r="A561" s="376"/>
      <c r="B561" s="439"/>
      <c r="C561" s="439"/>
      <c r="D561" s="439"/>
      <c r="E561" s="376"/>
      <c r="F561" s="376"/>
      <c r="G561" s="376"/>
      <c r="T561" s="376"/>
      <c r="U561" s="376"/>
      <c r="V561" s="376"/>
    </row>
    <row r="562" spans="1:22" x14ac:dyDescent="0.25">
      <c r="A562" s="376"/>
      <c r="B562" s="439"/>
      <c r="C562" s="439"/>
      <c r="D562" s="439"/>
      <c r="E562" s="376"/>
      <c r="F562" s="376"/>
      <c r="G562" s="376"/>
      <c r="T562" s="376"/>
      <c r="U562" s="376"/>
      <c r="V562" s="376"/>
    </row>
    <row r="563" spans="1:22" x14ac:dyDescent="0.25">
      <c r="A563" s="376"/>
      <c r="B563" s="439"/>
      <c r="C563" s="439"/>
      <c r="D563" s="439"/>
      <c r="E563" s="376"/>
      <c r="F563" s="376"/>
      <c r="G563" s="376"/>
      <c r="T563" s="376"/>
      <c r="U563" s="376"/>
      <c r="V563" s="376"/>
    </row>
    <row r="564" spans="1:22" x14ac:dyDescent="0.25">
      <c r="A564" s="376"/>
      <c r="B564" s="439"/>
      <c r="C564" s="439"/>
      <c r="D564" s="439"/>
      <c r="E564" s="376"/>
      <c r="F564" s="376"/>
      <c r="G564" s="376"/>
      <c r="T564" s="376"/>
      <c r="U564" s="376"/>
      <c r="V564" s="376"/>
    </row>
    <row r="565" spans="1:22" x14ac:dyDescent="0.25">
      <c r="A565" s="376"/>
      <c r="B565" s="439"/>
      <c r="C565" s="439"/>
      <c r="D565" s="439"/>
      <c r="E565" s="376"/>
      <c r="F565" s="376"/>
      <c r="G565" s="376"/>
      <c r="T565" s="376"/>
      <c r="U565" s="376"/>
      <c r="V565" s="376"/>
    </row>
    <row r="566" spans="1:22" x14ac:dyDescent="0.25">
      <c r="A566" s="376"/>
      <c r="B566" s="439"/>
      <c r="C566" s="439"/>
      <c r="D566" s="439"/>
      <c r="E566" s="376"/>
      <c r="F566" s="376"/>
      <c r="G566" s="376"/>
      <c r="T566" s="376"/>
      <c r="U566" s="376"/>
      <c r="V566" s="376"/>
    </row>
    <row r="567" spans="1:22" x14ac:dyDescent="0.25">
      <c r="A567" s="376"/>
      <c r="B567" s="439"/>
      <c r="C567" s="439"/>
      <c r="D567" s="439"/>
      <c r="E567" s="376"/>
      <c r="F567" s="376"/>
      <c r="G567" s="376"/>
      <c r="T567" s="376"/>
      <c r="U567" s="376"/>
      <c r="V567" s="376"/>
    </row>
    <row r="568" spans="1:22" x14ac:dyDescent="0.25">
      <c r="A568" s="376"/>
      <c r="B568" s="439"/>
      <c r="C568" s="439"/>
      <c r="D568" s="439"/>
      <c r="E568" s="376"/>
      <c r="F568" s="376"/>
      <c r="G568" s="376"/>
      <c r="T568" s="376"/>
      <c r="U568" s="376"/>
      <c r="V568" s="376"/>
    </row>
    <row r="569" spans="1:22" x14ac:dyDescent="0.25">
      <c r="A569" s="376"/>
      <c r="B569" s="439"/>
      <c r="C569" s="439"/>
      <c r="D569" s="439"/>
      <c r="E569" s="376"/>
      <c r="F569" s="376"/>
      <c r="G569" s="376"/>
      <c r="T569" s="376"/>
      <c r="U569" s="376"/>
      <c r="V569" s="376"/>
    </row>
    <row r="570" spans="1:22" x14ac:dyDescent="0.25">
      <c r="A570" s="376"/>
      <c r="B570" s="439"/>
      <c r="C570" s="439"/>
      <c r="D570" s="439"/>
      <c r="E570" s="376"/>
      <c r="F570" s="376"/>
      <c r="G570" s="376"/>
      <c r="T570" s="376"/>
      <c r="U570" s="376"/>
      <c r="V570" s="376"/>
    </row>
    <row r="571" spans="1:22" x14ac:dyDescent="0.25">
      <c r="A571" s="376"/>
      <c r="B571" s="439"/>
      <c r="C571" s="439"/>
      <c r="D571" s="439"/>
      <c r="E571" s="376"/>
      <c r="F571" s="376"/>
      <c r="G571" s="376"/>
      <c r="T571" s="376"/>
      <c r="U571" s="376"/>
      <c r="V571" s="376"/>
    </row>
    <row r="572" spans="1:22" x14ac:dyDescent="0.25">
      <c r="A572" s="376"/>
      <c r="B572" s="439"/>
      <c r="C572" s="439"/>
      <c r="D572" s="439"/>
      <c r="E572" s="376"/>
      <c r="F572" s="376"/>
      <c r="G572" s="376"/>
      <c r="T572" s="376"/>
      <c r="U572" s="376"/>
      <c r="V572" s="376"/>
    </row>
    <row r="573" spans="1:22" x14ac:dyDescent="0.25">
      <c r="A573" s="376"/>
      <c r="B573" s="439"/>
      <c r="C573" s="439"/>
      <c r="D573" s="439"/>
      <c r="E573" s="376"/>
      <c r="F573" s="376"/>
      <c r="G573" s="376"/>
      <c r="T573" s="376"/>
      <c r="U573" s="376"/>
      <c r="V573" s="376"/>
    </row>
    <row r="574" spans="1:22" x14ac:dyDescent="0.25">
      <c r="A574" s="376"/>
      <c r="B574" s="439"/>
      <c r="C574" s="439"/>
      <c r="D574" s="439"/>
      <c r="E574" s="376"/>
      <c r="F574" s="376"/>
      <c r="G574" s="376"/>
      <c r="T574" s="376"/>
      <c r="U574" s="376"/>
      <c r="V574" s="376"/>
    </row>
    <row r="575" spans="1:22" x14ac:dyDescent="0.25">
      <c r="A575" s="376"/>
      <c r="B575" s="439"/>
      <c r="C575" s="439"/>
      <c r="D575" s="439"/>
      <c r="E575" s="376"/>
      <c r="F575" s="376"/>
      <c r="G575" s="376"/>
      <c r="T575" s="376"/>
      <c r="U575" s="376"/>
      <c r="V575" s="376"/>
    </row>
    <row r="576" spans="1:22" x14ac:dyDescent="0.25">
      <c r="A576" s="376"/>
      <c r="B576" s="439"/>
      <c r="C576" s="439"/>
      <c r="D576" s="439"/>
      <c r="E576" s="376"/>
      <c r="F576" s="376"/>
      <c r="G576" s="376"/>
      <c r="T576" s="376"/>
      <c r="U576" s="376"/>
      <c r="V576" s="376"/>
    </row>
    <row r="577" spans="1:22" x14ac:dyDescent="0.25">
      <c r="A577" s="376"/>
      <c r="B577" s="439"/>
      <c r="C577" s="439"/>
      <c r="D577" s="439"/>
      <c r="E577" s="376"/>
      <c r="F577" s="376"/>
      <c r="G577" s="376"/>
      <c r="T577" s="376"/>
      <c r="U577" s="376"/>
      <c r="V577" s="376"/>
    </row>
    <row r="578" spans="1:22" x14ac:dyDescent="0.25">
      <c r="A578" s="376"/>
      <c r="B578" s="439"/>
      <c r="C578" s="439"/>
      <c r="D578" s="439"/>
      <c r="E578" s="376"/>
      <c r="F578" s="376"/>
      <c r="G578" s="376"/>
      <c r="T578" s="376"/>
      <c r="U578" s="376"/>
      <c r="V578" s="376"/>
    </row>
    <row r="579" spans="1:22" x14ac:dyDescent="0.25">
      <c r="A579" s="376"/>
      <c r="B579" s="439"/>
      <c r="C579" s="439"/>
      <c r="D579" s="439"/>
      <c r="E579" s="376"/>
      <c r="F579" s="376"/>
      <c r="G579" s="376"/>
      <c r="T579" s="376"/>
      <c r="U579" s="376"/>
      <c r="V579" s="376"/>
    </row>
    <row r="580" spans="1:22" x14ac:dyDescent="0.25">
      <c r="A580" s="376"/>
      <c r="B580" s="439"/>
      <c r="C580" s="439"/>
      <c r="D580" s="439"/>
      <c r="E580" s="376"/>
      <c r="F580" s="376"/>
      <c r="G580" s="376"/>
      <c r="T580" s="376"/>
      <c r="U580" s="376"/>
      <c r="V580" s="376"/>
    </row>
    <row r="581" spans="1:22" x14ac:dyDescent="0.25">
      <c r="A581" s="376"/>
      <c r="B581" s="439"/>
      <c r="C581" s="439"/>
      <c r="D581" s="439"/>
      <c r="E581" s="376"/>
      <c r="F581" s="376"/>
      <c r="G581" s="376"/>
      <c r="T581" s="376"/>
      <c r="U581" s="376"/>
      <c r="V581" s="376"/>
    </row>
    <row r="582" spans="1:22" x14ac:dyDescent="0.25">
      <c r="A582" s="376"/>
      <c r="B582" s="439"/>
      <c r="C582" s="439"/>
      <c r="D582" s="439"/>
      <c r="E582" s="376"/>
      <c r="F582" s="376"/>
      <c r="G582" s="376"/>
      <c r="T582" s="376"/>
      <c r="U582" s="376"/>
      <c r="V582" s="376"/>
    </row>
    <row r="583" spans="1:22" x14ac:dyDescent="0.25">
      <c r="A583" s="376"/>
      <c r="B583" s="439"/>
      <c r="C583" s="439"/>
      <c r="D583" s="439"/>
      <c r="E583" s="376"/>
      <c r="F583" s="376"/>
      <c r="G583" s="376"/>
      <c r="T583" s="376"/>
      <c r="U583" s="376"/>
      <c r="V583" s="376"/>
    </row>
    <row r="584" spans="1:22" x14ac:dyDescent="0.25">
      <c r="A584" s="376"/>
      <c r="B584" s="439"/>
      <c r="C584" s="439"/>
      <c r="D584" s="439"/>
      <c r="E584" s="376"/>
      <c r="F584" s="376"/>
      <c r="G584" s="376"/>
      <c r="T584" s="376"/>
      <c r="U584" s="376"/>
      <c r="V584" s="376"/>
    </row>
    <row r="585" spans="1:22" x14ac:dyDescent="0.25">
      <c r="A585" s="376"/>
      <c r="B585" s="439"/>
      <c r="C585" s="439"/>
      <c r="D585" s="439"/>
      <c r="E585" s="376"/>
      <c r="F585" s="376"/>
      <c r="G585" s="376"/>
      <c r="T585" s="376"/>
      <c r="U585" s="376"/>
      <c r="V585" s="376"/>
    </row>
    <row r="586" spans="1:22" x14ac:dyDescent="0.25">
      <c r="A586" s="376"/>
      <c r="B586" s="439"/>
      <c r="C586" s="439"/>
      <c r="D586" s="439"/>
      <c r="E586" s="376"/>
      <c r="F586" s="376"/>
      <c r="G586" s="376"/>
      <c r="T586" s="376"/>
      <c r="U586" s="376"/>
      <c r="V586" s="376"/>
    </row>
    <row r="587" spans="1:22" x14ac:dyDescent="0.25">
      <c r="A587" s="376"/>
      <c r="B587" s="439"/>
      <c r="C587" s="439"/>
      <c r="D587" s="439"/>
      <c r="E587" s="376"/>
      <c r="F587" s="376"/>
      <c r="G587" s="376"/>
      <c r="T587" s="376"/>
      <c r="U587" s="376"/>
      <c r="V587" s="376"/>
    </row>
    <row r="588" spans="1:22" x14ac:dyDescent="0.25">
      <c r="A588" s="376"/>
      <c r="B588" s="439"/>
      <c r="C588" s="439"/>
      <c r="D588" s="439"/>
      <c r="E588" s="376"/>
      <c r="F588" s="376"/>
      <c r="G588" s="376"/>
      <c r="T588" s="376"/>
      <c r="U588" s="376"/>
      <c r="V588" s="376"/>
    </row>
    <row r="589" spans="1:22" x14ac:dyDescent="0.25">
      <c r="A589" s="376"/>
      <c r="B589" s="439"/>
      <c r="C589" s="439"/>
      <c r="D589" s="439"/>
      <c r="E589" s="376"/>
      <c r="F589" s="376"/>
      <c r="G589" s="376"/>
      <c r="T589" s="376"/>
      <c r="U589" s="376"/>
      <c r="V589" s="376"/>
    </row>
    <row r="590" spans="1:22" x14ac:dyDescent="0.25">
      <c r="A590" s="376"/>
      <c r="B590" s="439"/>
      <c r="C590" s="439"/>
      <c r="D590" s="439"/>
      <c r="E590" s="376"/>
      <c r="F590" s="376"/>
      <c r="G590" s="376"/>
      <c r="T590" s="376"/>
      <c r="U590" s="376"/>
      <c r="V590" s="376"/>
    </row>
    <row r="591" spans="1:22" x14ac:dyDescent="0.25">
      <c r="A591" s="376"/>
      <c r="B591" s="439"/>
      <c r="C591" s="439"/>
      <c r="D591" s="439"/>
      <c r="E591" s="376"/>
      <c r="F591" s="376"/>
      <c r="G591" s="376"/>
      <c r="T591" s="376"/>
      <c r="U591" s="376"/>
      <c r="V591" s="376"/>
    </row>
    <row r="592" spans="1:22" x14ac:dyDescent="0.25">
      <c r="A592" s="376"/>
      <c r="B592" s="439"/>
      <c r="C592" s="439"/>
      <c r="D592" s="439"/>
      <c r="E592" s="376"/>
      <c r="F592" s="376"/>
      <c r="G592" s="376"/>
      <c r="T592" s="376"/>
      <c r="U592" s="376"/>
      <c r="V592" s="376"/>
    </row>
    <row r="593" spans="1:22" x14ac:dyDescent="0.25">
      <c r="A593" s="376"/>
      <c r="B593" s="439"/>
      <c r="C593" s="439"/>
      <c r="D593" s="439"/>
      <c r="E593" s="376"/>
      <c r="F593" s="376"/>
      <c r="G593" s="376"/>
      <c r="T593" s="376"/>
      <c r="U593" s="376"/>
      <c r="V593" s="376"/>
    </row>
    <row r="594" spans="1:22" x14ac:dyDescent="0.25">
      <c r="A594" s="376"/>
      <c r="B594" s="439"/>
      <c r="C594" s="439"/>
      <c r="D594" s="439"/>
      <c r="E594" s="376"/>
      <c r="F594" s="376"/>
      <c r="G594" s="376"/>
      <c r="T594" s="376"/>
      <c r="U594" s="376"/>
      <c r="V594" s="376"/>
    </row>
    <row r="595" spans="1:22" x14ac:dyDescent="0.25">
      <c r="A595" s="376"/>
      <c r="B595" s="439"/>
      <c r="C595" s="439"/>
      <c r="D595" s="439"/>
      <c r="E595" s="376"/>
      <c r="F595" s="376"/>
      <c r="G595" s="376"/>
      <c r="T595" s="376"/>
      <c r="U595" s="376"/>
      <c r="V595" s="376"/>
    </row>
    <row r="596" spans="1:22" x14ac:dyDescent="0.25">
      <c r="A596" s="376"/>
      <c r="B596" s="439"/>
      <c r="C596" s="439"/>
      <c r="D596" s="439"/>
      <c r="E596" s="376"/>
      <c r="F596" s="376"/>
      <c r="G596" s="376"/>
      <c r="T596" s="376"/>
      <c r="U596" s="376"/>
      <c r="V596" s="376"/>
    </row>
    <row r="597" spans="1:22" x14ac:dyDescent="0.25">
      <c r="A597" s="376"/>
      <c r="B597" s="439"/>
      <c r="C597" s="439"/>
      <c r="D597" s="439"/>
      <c r="E597" s="376"/>
      <c r="F597" s="376"/>
      <c r="G597" s="376"/>
      <c r="T597" s="376"/>
      <c r="U597" s="376"/>
      <c r="V597" s="376"/>
    </row>
    <row r="598" spans="1:22" x14ac:dyDescent="0.25">
      <c r="A598" s="376"/>
      <c r="B598" s="439"/>
      <c r="C598" s="439"/>
      <c r="D598" s="439"/>
      <c r="E598" s="376"/>
      <c r="F598" s="376"/>
      <c r="G598" s="376"/>
      <c r="T598" s="376"/>
      <c r="U598" s="376"/>
      <c r="V598" s="376"/>
    </row>
    <row r="599" spans="1:22" x14ac:dyDescent="0.25">
      <c r="A599" s="376"/>
      <c r="B599" s="439"/>
      <c r="C599" s="439"/>
      <c r="D599" s="439"/>
      <c r="E599" s="376"/>
      <c r="F599" s="376"/>
      <c r="G599" s="376"/>
      <c r="T599" s="376"/>
      <c r="U599" s="376"/>
      <c r="V599" s="376"/>
    </row>
    <row r="600" spans="1:22" x14ac:dyDescent="0.25">
      <c r="A600" s="376"/>
      <c r="B600" s="439"/>
      <c r="C600" s="439"/>
      <c r="D600" s="439"/>
      <c r="E600" s="376"/>
      <c r="F600" s="376"/>
      <c r="G600" s="376"/>
      <c r="T600" s="376"/>
      <c r="U600" s="376"/>
      <c r="V600" s="376"/>
    </row>
    <row r="601" spans="1:22" x14ac:dyDescent="0.25">
      <c r="A601" s="376"/>
      <c r="B601" s="439"/>
      <c r="C601" s="439"/>
      <c r="D601" s="439"/>
      <c r="E601" s="376"/>
      <c r="F601" s="376"/>
      <c r="G601" s="376"/>
      <c r="T601" s="376"/>
      <c r="U601" s="376"/>
      <c r="V601" s="376"/>
    </row>
    <row r="602" spans="1:22" x14ac:dyDescent="0.25">
      <c r="A602" s="376"/>
      <c r="B602" s="439"/>
      <c r="C602" s="439"/>
      <c r="D602" s="439"/>
      <c r="E602" s="376"/>
      <c r="F602" s="376"/>
      <c r="G602" s="376"/>
      <c r="T602" s="376"/>
      <c r="U602" s="376"/>
      <c r="V602" s="376"/>
    </row>
    <row r="603" spans="1:22" x14ac:dyDescent="0.25">
      <c r="A603" s="376"/>
      <c r="B603" s="439"/>
      <c r="C603" s="439"/>
      <c r="D603" s="439"/>
      <c r="E603" s="376"/>
      <c r="F603" s="376"/>
      <c r="G603" s="376"/>
      <c r="T603" s="376"/>
      <c r="U603" s="376"/>
      <c r="V603" s="376"/>
    </row>
    <row r="604" spans="1:22" x14ac:dyDescent="0.25">
      <c r="A604" s="376"/>
      <c r="B604" s="439"/>
      <c r="C604" s="439"/>
      <c r="D604" s="439"/>
      <c r="E604" s="376"/>
      <c r="F604" s="376"/>
      <c r="G604" s="376"/>
      <c r="T604" s="376"/>
      <c r="U604" s="376"/>
      <c r="V604" s="376"/>
    </row>
    <row r="605" spans="1:22" x14ac:dyDescent="0.25">
      <c r="A605" s="376"/>
      <c r="B605" s="439"/>
      <c r="C605" s="439"/>
      <c r="D605" s="439"/>
      <c r="E605" s="376"/>
      <c r="F605" s="376"/>
      <c r="G605" s="376"/>
      <c r="T605" s="376"/>
      <c r="U605" s="376"/>
      <c r="V605" s="376"/>
    </row>
    <row r="606" spans="1:22" x14ac:dyDescent="0.25">
      <c r="A606" s="376"/>
      <c r="B606" s="439"/>
      <c r="C606" s="439"/>
      <c r="D606" s="439"/>
      <c r="E606" s="376"/>
      <c r="F606" s="376"/>
      <c r="G606" s="376"/>
      <c r="T606" s="376"/>
      <c r="U606" s="376"/>
      <c r="V606" s="376"/>
    </row>
    <row r="607" spans="1:22" x14ac:dyDescent="0.25">
      <c r="A607" s="376"/>
      <c r="B607" s="439"/>
      <c r="C607" s="439"/>
      <c r="D607" s="439"/>
      <c r="E607" s="376"/>
      <c r="F607" s="376"/>
      <c r="G607" s="376"/>
      <c r="T607" s="376"/>
      <c r="U607" s="376"/>
      <c r="V607" s="376"/>
    </row>
    <row r="608" spans="1:22" x14ac:dyDescent="0.25">
      <c r="A608" s="376"/>
      <c r="B608" s="439"/>
      <c r="C608" s="439"/>
      <c r="D608" s="439"/>
      <c r="E608" s="376"/>
      <c r="F608" s="376"/>
      <c r="G608" s="376"/>
      <c r="T608" s="376"/>
      <c r="U608" s="376"/>
      <c r="V608" s="376"/>
    </row>
    <row r="609" spans="1:22" x14ac:dyDescent="0.25">
      <c r="A609" s="376"/>
      <c r="B609" s="439"/>
      <c r="C609" s="439"/>
      <c r="D609" s="439"/>
      <c r="E609" s="376"/>
      <c r="F609" s="376"/>
      <c r="G609" s="376"/>
      <c r="T609" s="376"/>
      <c r="U609" s="376"/>
      <c r="V609" s="376"/>
    </row>
    <row r="610" spans="1:22" x14ac:dyDescent="0.25">
      <c r="A610" s="376"/>
      <c r="B610" s="439"/>
      <c r="C610" s="439"/>
      <c r="D610" s="439"/>
      <c r="E610" s="376"/>
      <c r="F610" s="376"/>
      <c r="G610" s="376"/>
      <c r="T610" s="376"/>
      <c r="U610" s="376"/>
      <c r="V610" s="376"/>
    </row>
    <row r="611" spans="1:22" x14ac:dyDescent="0.25">
      <c r="A611" s="376"/>
      <c r="B611" s="439"/>
      <c r="C611" s="439"/>
      <c r="D611" s="439"/>
      <c r="E611" s="376"/>
      <c r="F611" s="376"/>
      <c r="G611" s="376"/>
      <c r="T611" s="376"/>
      <c r="U611" s="376"/>
      <c r="V611" s="376"/>
    </row>
    <row r="612" spans="1:22" x14ac:dyDescent="0.25">
      <c r="A612" s="376"/>
      <c r="B612" s="439"/>
      <c r="C612" s="439"/>
      <c r="D612" s="439"/>
      <c r="E612" s="376"/>
      <c r="F612" s="376"/>
      <c r="G612" s="376"/>
      <c r="T612" s="376"/>
      <c r="U612" s="376"/>
      <c r="V612" s="376"/>
    </row>
    <row r="613" spans="1:22" x14ac:dyDescent="0.25">
      <c r="A613" s="376"/>
      <c r="B613" s="439"/>
      <c r="C613" s="439"/>
      <c r="D613" s="439"/>
      <c r="E613" s="376"/>
      <c r="F613" s="376"/>
      <c r="G613" s="376"/>
      <c r="T613" s="376"/>
      <c r="U613" s="376"/>
      <c r="V613" s="376"/>
    </row>
    <row r="614" spans="1:22" x14ac:dyDescent="0.25">
      <c r="A614" s="376"/>
      <c r="B614" s="439"/>
      <c r="C614" s="439"/>
      <c r="D614" s="439"/>
      <c r="E614" s="376"/>
      <c r="F614" s="376"/>
      <c r="G614" s="376"/>
      <c r="T614" s="376"/>
      <c r="U614" s="376"/>
      <c r="V614" s="376"/>
    </row>
    <row r="615" spans="1:22" x14ac:dyDescent="0.25">
      <c r="A615" s="376"/>
      <c r="B615" s="439"/>
      <c r="C615" s="439"/>
      <c r="D615" s="439"/>
      <c r="E615" s="376"/>
      <c r="F615" s="376"/>
      <c r="G615" s="376"/>
      <c r="T615" s="376"/>
      <c r="U615" s="376"/>
      <c r="V615" s="376"/>
    </row>
    <row r="616" spans="1:22" x14ac:dyDescent="0.25">
      <c r="A616" s="376"/>
      <c r="B616" s="439"/>
      <c r="C616" s="439"/>
      <c r="D616" s="439"/>
      <c r="E616" s="376"/>
      <c r="F616" s="376"/>
      <c r="G616" s="376"/>
      <c r="T616" s="376"/>
      <c r="U616" s="376"/>
      <c r="V616" s="376"/>
    </row>
    <row r="617" spans="1:22" x14ac:dyDescent="0.25">
      <c r="A617" s="376"/>
      <c r="B617" s="439"/>
      <c r="C617" s="439"/>
      <c r="D617" s="439"/>
      <c r="E617" s="376"/>
      <c r="F617" s="376"/>
      <c r="G617" s="376"/>
      <c r="T617" s="376"/>
      <c r="U617" s="376"/>
      <c r="V617" s="376"/>
    </row>
    <row r="618" spans="1:22" x14ac:dyDescent="0.25">
      <c r="A618" s="376"/>
      <c r="B618" s="439"/>
      <c r="C618" s="439"/>
      <c r="D618" s="439"/>
      <c r="E618" s="376"/>
      <c r="F618" s="376"/>
      <c r="G618" s="376"/>
      <c r="T618" s="376"/>
      <c r="U618" s="376"/>
      <c r="V618" s="376"/>
    </row>
    <row r="619" spans="1:22" x14ac:dyDescent="0.25">
      <c r="A619" s="376"/>
      <c r="B619" s="439"/>
      <c r="C619" s="439"/>
      <c r="D619" s="439"/>
      <c r="E619" s="376"/>
      <c r="F619" s="376"/>
      <c r="G619" s="376"/>
      <c r="T619" s="376"/>
      <c r="U619" s="376"/>
      <c r="V619" s="376"/>
    </row>
    <row r="620" spans="1:22" x14ac:dyDescent="0.25">
      <c r="A620" s="376"/>
      <c r="B620" s="439"/>
      <c r="C620" s="439"/>
      <c r="D620" s="439"/>
      <c r="E620" s="376"/>
      <c r="F620" s="376"/>
      <c r="G620" s="376"/>
      <c r="T620" s="376"/>
      <c r="U620" s="376"/>
      <c r="V620" s="376"/>
    </row>
    <row r="621" spans="1:22" x14ac:dyDescent="0.25">
      <c r="A621" s="376"/>
      <c r="B621" s="439"/>
      <c r="C621" s="439"/>
      <c r="D621" s="439"/>
      <c r="E621" s="376"/>
      <c r="F621" s="376"/>
      <c r="G621" s="376"/>
      <c r="T621" s="376"/>
      <c r="U621" s="376"/>
      <c r="V621" s="376"/>
    </row>
    <row r="622" spans="1:22" x14ac:dyDescent="0.25">
      <c r="A622" s="376"/>
      <c r="B622" s="439"/>
      <c r="C622" s="439"/>
      <c r="D622" s="439"/>
      <c r="E622" s="376"/>
      <c r="F622" s="376"/>
      <c r="G622" s="376"/>
      <c r="T622" s="376"/>
      <c r="U622" s="376"/>
      <c r="V622" s="376"/>
    </row>
    <row r="623" spans="1:22" x14ac:dyDescent="0.25">
      <c r="A623" s="376"/>
      <c r="B623" s="439"/>
      <c r="C623" s="439"/>
      <c r="D623" s="439"/>
      <c r="E623" s="376"/>
      <c r="F623" s="376"/>
      <c r="G623" s="376"/>
      <c r="T623" s="376"/>
      <c r="U623" s="376"/>
      <c r="V623" s="376"/>
    </row>
    <row r="624" spans="1:22" x14ac:dyDescent="0.25">
      <c r="A624" s="376"/>
      <c r="B624" s="439"/>
      <c r="C624" s="439"/>
      <c r="D624" s="439"/>
      <c r="E624" s="376"/>
      <c r="F624" s="376"/>
      <c r="G624" s="376"/>
      <c r="T624" s="376"/>
      <c r="U624" s="376"/>
      <c r="V624" s="376"/>
    </row>
    <row r="625" spans="1:22" x14ac:dyDescent="0.25">
      <c r="A625" s="376"/>
      <c r="B625" s="439"/>
      <c r="C625" s="439"/>
      <c r="D625" s="439"/>
      <c r="E625" s="376"/>
      <c r="F625" s="376"/>
      <c r="G625" s="376"/>
      <c r="T625" s="376"/>
      <c r="U625" s="376"/>
      <c r="V625" s="376"/>
    </row>
    <row r="626" spans="1:22" x14ac:dyDescent="0.25">
      <c r="A626" s="376"/>
      <c r="B626" s="439"/>
      <c r="C626" s="439"/>
      <c r="D626" s="439"/>
      <c r="E626" s="376"/>
      <c r="F626" s="376"/>
      <c r="G626" s="376"/>
      <c r="T626" s="376"/>
      <c r="U626" s="376"/>
      <c r="V626" s="376"/>
    </row>
    <row r="627" spans="1:22" x14ac:dyDescent="0.25">
      <c r="A627" s="376"/>
      <c r="B627" s="439"/>
      <c r="C627" s="439"/>
      <c r="D627" s="439"/>
      <c r="E627" s="376"/>
      <c r="F627" s="376"/>
      <c r="G627" s="376"/>
      <c r="T627" s="376"/>
      <c r="U627" s="376"/>
      <c r="V627" s="376"/>
    </row>
    <row r="628" spans="1:22" x14ac:dyDescent="0.25">
      <c r="A628" s="376"/>
      <c r="B628" s="439"/>
      <c r="C628" s="439"/>
      <c r="D628" s="439"/>
      <c r="E628" s="376"/>
      <c r="F628" s="376"/>
      <c r="G628" s="376"/>
      <c r="T628" s="376"/>
      <c r="U628" s="376"/>
      <c r="V628" s="376"/>
    </row>
    <row r="629" spans="1:22" x14ac:dyDescent="0.25">
      <c r="A629" s="376"/>
      <c r="B629" s="439"/>
      <c r="C629" s="439"/>
      <c r="D629" s="439"/>
      <c r="E629" s="376"/>
      <c r="F629" s="376"/>
      <c r="G629" s="376"/>
      <c r="T629" s="376"/>
      <c r="U629" s="376"/>
      <c r="V629" s="376"/>
    </row>
    <row r="630" spans="1:22" x14ac:dyDescent="0.25">
      <c r="A630" s="376"/>
      <c r="B630" s="439"/>
      <c r="C630" s="439"/>
      <c r="D630" s="439"/>
      <c r="E630" s="376"/>
      <c r="F630" s="376"/>
      <c r="G630" s="376"/>
      <c r="T630" s="376"/>
      <c r="U630" s="376"/>
      <c r="V630" s="376"/>
    </row>
    <row r="631" spans="1:22" x14ac:dyDescent="0.25">
      <c r="A631" s="376"/>
      <c r="B631" s="439"/>
      <c r="C631" s="439"/>
      <c r="D631" s="439"/>
      <c r="E631" s="376"/>
      <c r="F631" s="376"/>
      <c r="G631" s="376"/>
      <c r="T631" s="376"/>
      <c r="U631" s="376"/>
      <c r="V631" s="376"/>
    </row>
    <row r="632" spans="1:22" x14ac:dyDescent="0.25">
      <c r="A632" s="376"/>
      <c r="B632" s="439"/>
      <c r="C632" s="439"/>
      <c r="D632" s="439"/>
      <c r="E632" s="376"/>
      <c r="F632" s="376"/>
      <c r="G632" s="376"/>
      <c r="T632" s="376"/>
      <c r="U632" s="376"/>
      <c r="V632" s="376"/>
    </row>
    <row r="633" spans="1:22" x14ac:dyDescent="0.25">
      <c r="A633" s="376"/>
      <c r="B633" s="439"/>
      <c r="C633" s="439"/>
      <c r="D633" s="439"/>
      <c r="E633" s="376"/>
      <c r="F633" s="376"/>
      <c r="G633" s="376"/>
      <c r="T633" s="376"/>
      <c r="U633" s="376"/>
      <c r="V633" s="376"/>
    </row>
    <row r="634" spans="1:22" x14ac:dyDescent="0.25">
      <c r="A634" s="376"/>
      <c r="B634" s="439"/>
      <c r="C634" s="439"/>
      <c r="D634" s="439"/>
      <c r="E634" s="376"/>
      <c r="F634" s="376"/>
      <c r="G634" s="376"/>
      <c r="T634" s="376"/>
      <c r="U634" s="376"/>
      <c r="V634" s="376"/>
    </row>
    <row r="635" spans="1:22" x14ac:dyDescent="0.25">
      <c r="A635" s="376"/>
      <c r="B635" s="439"/>
      <c r="C635" s="439"/>
      <c r="D635" s="439"/>
      <c r="E635" s="376"/>
      <c r="F635" s="376"/>
      <c r="G635" s="376"/>
      <c r="T635" s="376"/>
      <c r="U635" s="376"/>
      <c r="V635" s="376"/>
    </row>
    <row r="636" spans="1:22" x14ac:dyDescent="0.25">
      <c r="A636" s="376"/>
      <c r="B636" s="439"/>
      <c r="C636" s="439"/>
      <c r="D636" s="439"/>
      <c r="E636" s="376"/>
      <c r="F636" s="376"/>
      <c r="G636" s="376"/>
      <c r="T636" s="376"/>
      <c r="U636" s="376"/>
      <c r="V636" s="376"/>
    </row>
    <row r="637" spans="1:22" x14ac:dyDescent="0.25">
      <c r="A637" s="376"/>
      <c r="B637" s="439"/>
      <c r="C637" s="439"/>
      <c r="D637" s="439"/>
      <c r="E637" s="376"/>
      <c r="F637" s="376"/>
      <c r="G637" s="376"/>
      <c r="T637" s="376"/>
      <c r="U637" s="376"/>
      <c r="V637" s="376"/>
    </row>
    <row r="638" spans="1:22" x14ac:dyDescent="0.25">
      <c r="A638" s="376"/>
      <c r="B638" s="439"/>
      <c r="C638" s="439"/>
      <c r="D638" s="439"/>
      <c r="E638" s="376"/>
      <c r="F638" s="376"/>
      <c r="G638" s="376"/>
      <c r="T638" s="376"/>
      <c r="U638" s="376"/>
      <c r="V638" s="376"/>
    </row>
    <row r="639" spans="1:22" x14ac:dyDescent="0.25">
      <c r="A639" s="376"/>
      <c r="B639" s="439"/>
      <c r="C639" s="439"/>
      <c r="D639" s="439"/>
      <c r="E639" s="376"/>
      <c r="F639" s="376"/>
      <c r="G639" s="376"/>
      <c r="T639" s="376"/>
      <c r="U639" s="376"/>
      <c r="V639" s="376"/>
    </row>
    <row r="640" spans="1:22" x14ac:dyDescent="0.25">
      <c r="A640" s="376"/>
      <c r="B640" s="439"/>
      <c r="C640" s="439"/>
      <c r="D640" s="439"/>
      <c r="E640" s="376"/>
      <c r="F640" s="376"/>
      <c r="G640" s="376"/>
      <c r="T640" s="376"/>
      <c r="U640" s="376"/>
      <c r="V640" s="376"/>
    </row>
    <row r="641" spans="1:22" x14ac:dyDescent="0.25">
      <c r="A641" s="376"/>
      <c r="B641" s="439"/>
      <c r="C641" s="439"/>
      <c r="D641" s="439"/>
      <c r="E641" s="376"/>
      <c r="F641" s="376"/>
      <c r="G641" s="376"/>
      <c r="T641" s="376"/>
      <c r="U641" s="376"/>
      <c r="V641" s="376"/>
    </row>
    <row r="642" spans="1:22" x14ac:dyDescent="0.25">
      <c r="A642" s="376"/>
      <c r="B642" s="439"/>
      <c r="C642" s="439"/>
      <c r="D642" s="439"/>
      <c r="E642" s="376"/>
      <c r="F642" s="376"/>
      <c r="G642" s="376"/>
      <c r="T642" s="376"/>
      <c r="U642" s="376"/>
      <c r="V642" s="376"/>
    </row>
    <row r="643" spans="1:22" x14ac:dyDescent="0.25">
      <c r="A643" s="376"/>
      <c r="B643" s="439"/>
      <c r="C643" s="439"/>
      <c r="D643" s="439"/>
      <c r="E643" s="376"/>
      <c r="F643" s="376"/>
      <c r="G643" s="376"/>
      <c r="T643" s="376"/>
      <c r="U643" s="376"/>
      <c r="V643" s="376"/>
    </row>
    <row r="644" spans="1:22" x14ac:dyDescent="0.25">
      <c r="A644" s="376"/>
      <c r="B644" s="439"/>
      <c r="C644" s="439"/>
      <c r="D644" s="439"/>
      <c r="E644" s="376"/>
      <c r="F644" s="376"/>
      <c r="G644" s="376"/>
      <c r="T644" s="376"/>
      <c r="U644" s="376"/>
      <c r="V644" s="376"/>
    </row>
    <row r="645" spans="1:22" x14ac:dyDescent="0.25">
      <c r="A645" s="376"/>
      <c r="B645" s="439"/>
      <c r="C645" s="439"/>
      <c r="D645" s="439"/>
      <c r="E645" s="376"/>
      <c r="F645" s="376"/>
      <c r="G645" s="376"/>
      <c r="T645" s="376"/>
      <c r="U645" s="376"/>
      <c r="V645" s="376"/>
    </row>
    <row r="646" spans="1:22" x14ac:dyDescent="0.25">
      <c r="A646" s="376"/>
      <c r="B646" s="439"/>
      <c r="C646" s="439"/>
      <c r="D646" s="439"/>
      <c r="E646" s="376"/>
      <c r="F646" s="376"/>
      <c r="G646" s="376"/>
      <c r="T646" s="376"/>
      <c r="U646" s="376"/>
      <c r="V646" s="376"/>
    </row>
    <row r="647" spans="1:22" x14ac:dyDescent="0.25">
      <c r="A647" s="376"/>
      <c r="B647" s="439"/>
      <c r="C647" s="439"/>
      <c r="D647" s="439"/>
      <c r="E647" s="376"/>
      <c r="F647" s="376"/>
      <c r="G647" s="376"/>
      <c r="T647" s="376"/>
      <c r="U647" s="376"/>
      <c r="V647" s="376"/>
    </row>
    <row r="648" spans="1:22" x14ac:dyDescent="0.25">
      <c r="A648" s="376"/>
      <c r="B648" s="439"/>
      <c r="C648" s="439"/>
      <c r="D648" s="439"/>
      <c r="E648" s="376"/>
      <c r="F648" s="376"/>
      <c r="G648" s="376"/>
      <c r="T648" s="376"/>
      <c r="U648" s="376"/>
      <c r="V648" s="376"/>
    </row>
    <row r="649" spans="1:22" x14ac:dyDescent="0.25">
      <c r="A649" s="376"/>
      <c r="B649" s="439"/>
      <c r="C649" s="439"/>
      <c r="D649" s="439"/>
      <c r="E649" s="376"/>
      <c r="F649" s="376"/>
      <c r="G649" s="376"/>
      <c r="T649" s="376"/>
      <c r="U649" s="376"/>
      <c r="V649" s="376"/>
    </row>
    <row r="650" spans="1:22" x14ac:dyDescent="0.25">
      <c r="A650" s="376"/>
      <c r="B650" s="439"/>
      <c r="C650" s="439"/>
      <c r="D650" s="439"/>
      <c r="E650" s="376"/>
      <c r="F650" s="376"/>
      <c r="G650" s="376"/>
      <c r="T650" s="376"/>
      <c r="U650" s="376"/>
      <c r="V650" s="376"/>
    </row>
    <row r="651" spans="1:22" x14ac:dyDescent="0.25">
      <c r="A651" s="376"/>
      <c r="B651" s="439"/>
      <c r="C651" s="439"/>
      <c r="D651" s="439"/>
      <c r="E651" s="376"/>
      <c r="F651" s="376"/>
      <c r="G651" s="376"/>
      <c r="T651" s="376"/>
      <c r="U651" s="376"/>
      <c r="V651" s="376"/>
    </row>
    <row r="652" spans="1:22" x14ac:dyDescent="0.25">
      <c r="A652" s="376"/>
      <c r="B652" s="439"/>
      <c r="C652" s="439"/>
      <c r="D652" s="439"/>
      <c r="E652" s="376"/>
      <c r="F652" s="376"/>
      <c r="G652" s="376"/>
      <c r="T652" s="376"/>
      <c r="U652" s="376"/>
      <c r="V652" s="376"/>
    </row>
    <row r="653" spans="1:22" x14ac:dyDescent="0.25">
      <c r="A653" s="376"/>
      <c r="B653" s="439"/>
      <c r="C653" s="439"/>
      <c r="D653" s="439"/>
      <c r="E653" s="376"/>
      <c r="F653" s="376"/>
      <c r="G653" s="376"/>
      <c r="T653" s="376"/>
      <c r="U653" s="376"/>
      <c r="V653" s="376"/>
    </row>
    <row r="654" spans="1:22" x14ac:dyDescent="0.25">
      <c r="A654" s="376"/>
      <c r="B654" s="439"/>
      <c r="C654" s="439"/>
      <c r="D654" s="439"/>
      <c r="E654" s="376"/>
      <c r="F654" s="376"/>
      <c r="G654" s="376"/>
      <c r="T654" s="376"/>
      <c r="U654" s="376"/>
      <c r="V654" s="376"/>
    </row>
    <row r="655" spans="1:22" x14ac:dyDescent="0.25">
      <c r="A655" s="376"/>
      <c r="B655" s="439"/>
      <c r="C655" s="439"/>
      <c r="D655" s="439"/>
      <c r="E655" s="376"/>
      <c r="F655" s="376"/>
      <c r="G655" s="376"/>
      <c r="T655" s="376"/>
      <c r="U655" s="376"/>
      <c r="V655" s="376"/>
    </row>
    <row r="656" spans="1:22" x14ac:dyDescent="0.25">
      <c r="A656" s="376"/>
      <c r="B656" s="439"/>
      <c r="C656" s="439"/>
      <c r="D656" s="439"/>
      <c r="E656" s="376"/>
      <c r="F656" s="376"/>
      <c r="G656" s="376"/>
      <c r="T656" s="376"/>
      <c r="U656" s="376"/>
      <c r="V656" s="376"/>
    </row>
    <row r="657" spans="1:22" x14ac:dyDescent="0.25">
      <c r="A657" s="376"/>
      <c r="B657" s="439"/>
      <c r="C657" s="439"/>
      <c r="D657" s="439"/>
      <c r="E657" s="376"/>
      <c r="F657" s="376"/>
      <c r="G657" s="376"/>
      <c r="T657" s="376"/>
      <c r="U657" s="376"/>
      <c r="V657" s="376"/>
    </row>
    <row r="658" spans="1:22" x14ac:dyDescent="0.25">
      <c r="A658" s="376"/>
      <c r="B658" s="439"/>
      <c r="C658" s="439"/>
      <c r="D658" s="439"/>
      <c r="E658" s="376"/>
      <c r="F658" s="376"/>
      <c r="G658" s="376"/>
      <c r="T658" s="376"/>
      <c r="U658" s="376"/>
      <c r="V658" s="376"/>
    </row>
    <row r="659" spans="1:22" x14ac:dyDescent="0.25">
      <c r="A659" s="376"/>
      <c r="B659" s="439"/>
      <c r="C659" s="439"/>
      <c r="D659" s="439"/>
      <c r="E659" s="376"/>
      <c r="F659" s="376"/>
      <c r="G659" s="376"/>
      <c r="T659" s="376"/>
      <c r="U659" s="376"/>
      <c r="V659" s="376"/>
    </row>
    <row r="660" spans="1:22" x14ac:dyDescent="0.25">
      <c r="A660" s="376"/>
      <c r="B660" s="439"/>
      <c r="C660" s="439"/>
      <c r="D660" s="439"/>
      <c r="E660" s="376"/>
      <c r="F660" s="376"/>
      <c r="G660" s="376"/>
      <c r="T660" s="376"/>
      <c r="U660" s="376"/>
      <c r="V660" s="376"/>
    </row>
    <row r="661" spans="1:22" x14ac:dyDescent="0.25">
      <c r="A661" s="376"/>
      <c r="B661" s="439"/>
      <c r="C661" s="439"/>
      <c r="D661" s="439"/>
      <c r="E661" s="376"/>
      <c r="F661" s="376"/>
      <c r="G661" s="376"/>
      <c r="T661" s="376"/>
      <c r="U661" s="376"/>
      <c r="V661" s="376"/>
    </row>
    <row r="662" spans="1:22" x14ac:dyDescent="0.25">
      <c r="A662" s="376"/>
      <c r="B662" s="439"/>
      <c r="C662" s="439"/>
      <c r="D662" s="439"/>
      <c r="E662" s="376"/>
      <c r="F662" s="376"/>
      <c r="G662" s="376"/>
      <c r="T662" s="376"/>
      <c r="U662" s="376"/>
      <c r="V662" s="376"/>
    </row>
    <row r="663" spans="1:22" x14ac:dyDescent="0.25">
      <c r="A663" s="376"/>
      <c r="B663" s="439"/>
      <c r="C663" s="439"/>
      <c r="D663" s="439"/>
      <c r="E663" s="376"/>
      <c r="F663" s="376"/>
      <c r="G663" s="376"/>
      <c r="T663" s="376"/>
      <c r="U663" s="376"/>
      <c r="V663" s="376"/>
    </row>
    <row r="664" spans="1:22" x14ac:dyDescent="0.25">
      <c r="A664" s="376"/>
      <c r="B664" s="439"/>
      <c r="C664" s="439"/>
      <c r="D664" s="439"/>
      <c r="E664" s="376"/>
      <c r="F664" s="376"/>
      <c r="G664" s="376"/>
      <c r="T664" s="376"/>
      <c r="U664" s="376"/>
      <c r="V664" s="376"/>
    </row>
    <row r="665" spans="1:22" x14ac:dyDescent="0.25">
      <c r="A665" s="376"/>
      <c r="B665" s="439"/>
      <c r="C665" s="439"/>
      <c r="D665" s="439"/>
      <c r="E665" s="376"/>
      <c r="F665" s="376"/>
      <c r="G665" s="376"/>
      <c r="T665" s="376"/>
      <c r="U665" s="376"/>
      <c r="V665" s="376"/>
    </row>
    <row r="666" spans="1:22" x14ac:dyDescent="0.25">
      <c r="A666" s="376"/>
      <c r="B666" s="439"/>
      <c r="C666" s="439"/>
      <c r="D666" s="439"/>
      <c r="E666" s="376"/>
      <c r="F666" s="376"/>
      <c r="G666" s="376"/>
      <c r="T666" s="376"/>
      <c r="U666" s="376"/>
      <c r="V666" s="376"/>
    </row>
    <row r="667" spans="1:22" x14ac:dyDescent="0.25">
      <c r="A667" s="376"/>
      <c r="B667" s="439"/>
      <c r="C667" s="439"/>
      <c r="D667" s="439"/>
      <c r="E667" s="376"/>
      <c r="F667" s="376"/>
      <c r="G667" s="376"/>
      <c r="T667" s="376"/>
      <c r="U667" s="376"/>
      <c r="V667" s="376"/>
    </row>
    <row r="668" spans="1:22" x14ac:dyDescent="0.25">
      <c r="A668" s="376"/>
      <c r="B668" s="439"/>
      <c r="C668" s="439"/>
      <c r="D668" s="439"/>
      <c r="E668" s="376"/>
      <c r="F668" s="376"/>
      <c r="G668" s="376"/>
      <c r="T668" s="376"/>
      <c r="U668" s="376"/>
      <c r="V668" s="376"/>
    </row>
    <row r="669" spans="1:22" x14ac:dyDescent="0.25">
      <c r="A669" s="376"/>
      <c r="B669" s="439"/>
      <c r="C669" s="439"/>
      <c r="D669" s="439"/>
      <c r="E669" s="376"/>
      <c r="F669" s="376"/>
      <c r="G669" s="376"/>
      <c r="T669" s="376"/>
      <c r="U669" s="376"/>
      <c r="V669" s="376"/>
    </row>
    <row r="670" spans="1:22" x14ac:dyDescent="0.25">
      <c r="A670" s="376"/>
      <c r="B670" s="439"/>
      <c r="C670" s="439"/>
      <c r="D670" s="439"/>
      <c r="E670" s="376"/>
      <c r="F670" s="376"/>
      <c r="G670" s="376"/>
      <c r="T670" s="376"/>
      <c r="U670" s="376"/>
      <c r="V670" s="376"/>
    </row>
    <row r="671" spans="1:22" x14ac:dyDescent="0.25">
      <c r="A671" s="376"/>
      <c r="B671" s="439"/>
      <c r="C671" s="439"/>
      <c r="D671" s="439"/>
      <c r="E671" s="376"/>
      <c r="F671" s="376"/>
      <c r="G671" s="376"/>
      <c r="T671" s="376"/>
      <c r="U671" s="376"/>
      <c r="V671" s="376"/>
    </row>
    <row r="672" spans="1:22" x14ac:dyDescent="0.25">
      <c r="A672" s="376"/>
      <c r="B672" s="439"/>
      <c r="C672" s="439"/>
      <c r="D672" s="439"/>
      <c r="E672" s="376"/>
      <c r="F672" s="376"/>
      <c r="G672" s="376"/>
      <c r="T672" s="376"/>
      <c r="U672" s="376"/>
      <c r="V672" s="376"/>
    </row>
    <row r="673" spans="1:22" x14ac:dyDescent="0.25">
      <c r="A673" s="376"/>
      <c r="B673" s="439"/>
      <c r="C673" s="439"/>
      <c r="D673" s="439"/>
      <c r="E673" s="376"/>
      <c r="F673" s="376"/>
      <c r="G673" s="376"/>
      <c r="T673" s="376"/>
      <c r="U673" s="376"/>
      <c r="V673" s="376"/>
    </row>
    <row r="674" spans="1:22" x14ac:dyDescent="0.25">
      <c r="A674" s="376"/>
      <c r="B674" s="439"/>
      <c r="C674" s="439"/>
      <c r="D674" s="439"/>
      <c r="E674" s="376"/>
      <c r="F674" s="376"/>
      <c r="G674" s="376"/>
      <c r="T674" s="376"/>
      <c r="U674" s="376"/>
      <c r="V674" s="376"/>
    </row>
    <row r="675" spans="1:22" x14ac:dyDescent="0.25">
      <c r="A675" s="376"/>
      <c r="B675" s="439"/>
      <c r="C675" s="439"/>
      <c r="D675" s="439"/>
      <c r="E675" s="376"/>
      <c r="F675" s="376"/>
      <c r="G675" s="376"/>
      <c r="T675" s="376"/>
      <c r="U675" s="376"/>
      <c r="V675" s="376"/>
    </row>
    <row r="676" spans="1:22" x14ac:dyDescent="0.25">
      <c r="A676" s="376"/>
      <c r="B676" s="439"/>
      <c r="C676" s="439"/>
      <c r="D676" s="439"/>
      <c r="E676" s="376"/>
      <c r="F676" s="376"/>
      <c r="G676" s="376"/>
      <c r="T676" s="376"/>
      <c r="U676" s="376"/>
      <c r="V676" s="376"/>
    </row>
    <row r="677" spans="1:22" x14ac:dyDescent="0.25">
      <c r="A677" s="376"/>
      <c r="B677" s="439"/>
      <c r="C677" s="439"/>
      <c r="D677" s="439"/>
      <c r="E677" s="376"/>
      <c r="F677" s="376"/>
      <c r="G677" s="376"/>
      <c r="T677" s="376"/>
      <c r="U677" s="376"/>
      <c r="V677" s="376"/>
    </row>
    <row r="678" spans="1:22" x14ac:dyDescent="0.25">
      <c r="A678" s="376"/>
      <c r="B678" s="439"/>
      <c r="C678" s="439"/>
      <c r="D678" s="439"/>
      <c r="E678" s="376"/>
      <c r="F678" s="376"/>
      <c r="G678" s="376"/>
      <c r="T678" s="376"/>
      <c r="U678" s="376"/>
      <c r="V678" s="376"/>
    </row>
    <row r="679" spans="1:22" x14ac:dyDescent="0.25">
      <c r="A679" s="376"/>
      <c r="B679" s="439"/>
      <c r="C679" s="439"/>
      <c r="D679" s="439"/>
      <c r="E679" s="376"/>
      <c r="F679" s="376"/>
      <c r="G679" s="376"/>
      <c r="T679" s="376"/>
      <c r="U679" s="376"/>
      <c r="V679" s="376"/>
    </row>
    <row r="680" spans="1:22" x14ac:dyDescent="0.25">
      <c r="A680" s="376"/>
      <c r="B680" s="439"/>
      <c r="C680" s="439"/>
      <c r="D680" s="439"/>
      <c r="E680" s="376"/>
      <c r="F680" s="376"/>
      <c r="G680" s="376"/>
      <c r="T680" s="376"/>
      <c r="U680" s="376"/>
      <c r="V680" s="376"/>
    </row>
    <row r="681" spans="1:22" x14ac:dyDescent="0.25">
      <c r="A681" s="376"/>
      <c r="B681" s="439"/>
      <c r="C681" s="439"/>
      <c r="D681" s="439"/>
      <c r="E681" s="376"/>
      <c r="F681" s="376"/>
      <c r="G681" s="376"/>
      <c r="T681" s="376"/>
      <c r="U681" s="376"/>
      <c r="V681" s="376"/>
    </row>
    <row r="682" spans="1:22" x14ac:dyDescent="0.25">
      <c r="A682" s="376"/>
      <c r="B682" s="439"/>
      <c r="C682" s="439"/>
      <c r="D682" s="439"/>
      <c r="E682" s="376"/>
      <c r="F682" s="376"/>
      <c r="G682" s="376"/>
      <c r="T682" s="376"/>
      <c r="U682" s="376"/>
      <c r="V682" s="376"/>
    </row>
    <row r="683" spans="1:22" x14ac:dyDescent="0.25">
      <c r="A683" s="376"/>
      <c r="B683" s="439"/>
      <c r="C683" s="439"/>
      <c r="D683" s="439"/>
      <c r="E683" s="376"/>
      <c r="F683" s="376"/>
      <c r="G683" s="376"/>
      <c r="T683" s="376"/>
      <c r="U683" s="376"/>
      <c r="V683" s="376"/>
    </row>
    <row r="684" spans="1:22" x14ac:dyDescent="0.25">
      <c r="A684" s="376"/>
      <c r="B684" s="439"/>
      <c r="C684" s="439"/>
      <c r="D684" s="439"/>
      <c r="E684" s="376"/>
      <c r="F684" s="376"/>
      <c r="G684" s="376"/>
      <c r="T684" s="376"/>
      <c r="U684" s="376"/>
      <c r="V684" s="376"/>
    </row>
    <row r="685" spans="1:22" x14ac:dyDescent="0.25">
      <c r="A685" s="376"/>
      <c r="B685" s="439"/>
      <c r="C685" s="439"/>
      <c r="D685" s="439"/>
      <c r="E685" s="376"/>
      <c r="F685" s="376"/>
      <c r="G685" s="376"/>
      <c r="T685" s="376"/>
      <c r="U685" s="376"/>
      <c r="V685" s="376"/>
    </row>
    <row r="686" spans="1:22" x14ac:dyDescent="0.25">
      <c r="A686" s="376"/>
      <c r="B686" s="439"/>
      <c r="C686" s="439"/>
      <c r="D686" s="439"/>
      <c r="E686" s="376"/>
      <c r="F686" s="376"/>
      <c r="G686" s="376"/>
      <c r="T686" s="376"/>
      <c r="U686" s="376"/>
      <c r="V686" s="376"/>
    </row>
    <row r="687" spans="1:22" x14ac:dyDescent="0.25">
      <c r="A687" s="376"/>
      <c r="B687" s="439"/>
      <c r="C687" s="439"/>
      <c r="D687" s="439"/>
      <c r="E687" s="376"/>
      <c r="F687" s="376"/>
      <c r="G687" s="376"/>
      <c r="T687" s="376"/>
      <c r="U687" s="376"/>
      <c r="V687" s="376"/>
    </row>
    <row r="688" spans="1:22" x14ac:dyDescent="0.25">
      <c r="A688" s="376"/>
      <c r="B688" s="439"/>
      <c r="C688" s="439"/>
      <c r="D688" s="439"/>
      <c r="E688" s="376"/>
      <c r="F688" s="376"/>
      <c r="G688" s="376"/>
      <c r="T688" s="376"/>
      <c r="U688" s="376"/>
      <c r="V688" s="376"/>
    </row>
    <row r="689" spans="1:22" x14ac:dyDescent="0.25">
      <c r="A689" s="376"/>
      <c r="B689" s="439"/>
      <c r="C689" s="439"/>
      <c r="D689" s="439"/>
      <c r="E689" s="376"/>
      <c r="F689" s="376"/>
      <c r="G689" s="376"/>
      <c r="T689" s="376"/>
      <c r="U689" s="376"/>
      <c r="V689" s="376"/>
    </row>
    <row r="690" spans="1:22" x14ac:dyDescent="0.25">
      <c r="A690" s="376"/>
      <c r="B690" s="439"/>
      <c r="C690" s="439"/>
      <c r="D690" s="439"/>
      <c r="E690" s="376"/>
      <c r="F690" s="376"/>
      <c r="G690" s="376"/>
      <c r="T690" s="376"/>
      <c r="U690" s="376"/>
      <c r="V690" s="376"/>
    </row>
    <row r="691" spans="1:22" x14ac:dyDescent="0.25">
      <c r="A691" s="376"/>
      <c r="B691" s="439"/>
      <c r="C691" s="439"/>
      <c r="D691" s="439"/>
      <c r="E691" s="376"/>
      <c r="F691" s="376"/>
      <c r="G691" s="376"/>
      <c r="T691" s="376"/>
      <c r="U691" s="376"/>
      <c r="V691" s="376"/>
    </row>
    <row r="692" spans="1:22" x14ac:dyDescent="0.25">
      <c r="A692" s="376"/>
      <c r="B692" s="439"/>
      <c r="C692" s="439"/>
      <c r="D692" s="439"/>
      <c r="E692" s="376"/>
      <c r="F692" s="376"/>
      <c r="G692" s="376"/>
      <c r="T692" s="376"/>
      <c r="U692" s="376"/>
      <c r="V692" s="376"/>
    </row>
    <row r="693" spans="1:22" x14ac:dyDescent="0.25">
      <c r="A693" s="376"/>
      <c r="B693" s="439"/>
      <c r="C693" s="439"/>
      <c r="D693" s="439"/>
      <c r="E693" s="376"/>
      <c r="F693" s="376"/>
      <c r="G693" s="376"/>
      <c r="T693" s="376"/>
      <c r="U693" s="376"/>
      <c r="V693" s="376"/>
    </row>
    <row r="694" spans="1:22" x14ac:dyDescent="0.25">
      <c r="A694" s="376"/>
      <c r="B694" s="439"/>
      <c r="C694" s="439"/>
      <c r="D694" s="439"/>
      <c r="E694" s="376"/>
      <c r="F694" s="376"/>
      <c r="G694" s="376"/>
      <c r="T694" s="376"/>
      <c r="U694" s="376"/>
      <c r="V694" s="376"/>
    </row>
    <row r="695" spans="1:22" x14ac:dyDescent="0.25">
      <c r="A695" s="376"/>
      <c r="B695" s="439"/>
      <c r="C695" s="439"/>
      <c r="D695" s="439"/>
      <c r="E695" s="376"/>
      <c r="F695" s="376"/>
      <c r="G695" s="376"/>
      <c r="T695" s="376"/>
      <c r="U695" s="376"/>
      <c r="V695" s="376"/>
    </row>
    <row r="696" spans="1:22" x14ac:dyDescent="0.25">
      <c r="A696" s="376"/>
      <c r="B696" s="439"/>
      <c r="C696" s="439"/>
      <c r="D696" s="439"/>
      <c r="E696" s="376"/>
      <c r="F696" s="376"/>
      <c r="G696" s="376"/>
      <c r="T696" s="376"/>
      <c r="U696" s="376"/>
      <c r="V696" s="376"/>
    </row>
    <row r="697" spans="1:22" x14ac:dyDescent="0.25">
      <c r="A697" s="376"/>
      <c r="B697" s="439"/>
      <c r="C697" s="439"/>
      <c r="D697" s="439"/>
      <c r="E697" s="376"/>
      <c r="F697" s="376"/>
      <c r="G697" s="376"/>
      <c r="T697" s="376"/>
      <c r="U697" s="376"/>
      <c r="V697" s="376"/>
    </row>
    <row r="698" spans="1:22" x14ac:dyDescent="0.25">
      <c r="A698" s="376"/>
      <c r="B698" s="439"/>
      <c r="C698" s="439"/>
      <c r="D698" s="439"/>
      <c r="E698" s="376"/>
      <c r="F698" s="376"/>
      <c r="G698" s="376"/>
      <c r="T698" s="376"/>
      <c r="U698" s="376"/>
      <c r="V698" s="376"/>
    </row>
    <row r="699" spans="1:22" x14ac:dyDescent="0.25">
      <c r="A699" s="376"/>
      <c r="B699" s="439"/>
      <c r="C699" s="439"/>
      <c r="D699" s="439"/>
      <c r="E699" s="376"/>
      <c r="F699" s="376"/>
      <c r="G699" s="376"/>
      <c r="T699" s="376"/>
      <c r="U699" s="376"/>
      <c r="V699" s="376"/>
    </row>
    <row r="700" spans="1:22" x14ac:dyDescent="0.25">
      <c r="A700" s="376"/>
      <c r="B700" s="439"/>
      <c r="C700" s="439"/>
      <c r="D700" s="439"/>
      <c r="E700" s="376"/>
      <c r="F700" s="376"/>
      <c r="G700" s="376"/>
      <c r="T700" s="376"/>
      <c r="U700" s="376"/>
      <c r="V700" s="376"/>
    </row>
    <row r="701" spans="1:22" x14ac:dyDescent="0.25">
      <c r="A701" s="376"/>
      <c r="B701" s="439"/>
      <c r="C701" s="439"/>
      <c r="D701" s="439"/>
      <c r="E701" s="376"/>
      <c r="F701" s="376"/>
      <c r="G701" s="376"/>
      <c r="T701" s="376"/>
      <c r="U701" s="376"/>
      <c r="V701" s="376"/>
    </row>
    <row r="702" spans="1:22" x14ac:dyDescent="0.25">
      <c r="A702" s="376"/>
      <c r="B702" s="439"/>
      <c r="C702" s="439"/>
      <c r="D702" s="439"/>
      <c r="E702" s="376"/>
      <c r="F702" s="376"/>
      <c r="G702" s="376"/>
      <c r="T702" s="376"/>
      <c r="U702" s="376"/>
      <c r="V702" s="376"/>
    </row>
    <row r="703" spans="1:22" x14ac:dyDescent="0.25">
      <c r="A703" s="376"/>
      <c r="B703" s="439"/>
      <c r="C703" s="439"/>
      <c r="D703" s="439"/>
      <c r="E703" s="376"/>
      <c r="F703" s="376"/>
      <c r="G703" s="376"/>
      <c r="T703" s="376"/>
      <c r="U703" s="376"/>
      <c r="V703" s="376"/>
    </row>
    <row r="704" spans="1:22" x14ac:dyDescent="0.25">
      <c r="A704" s="376"/>
      <c r="B704" s="439"/>
      <c r="C704" s="439"/>
      <c r="D704" s="439"/>
      <c r="E704" s="376"/>
      <c r="F704" s="376"/>
      <c r="G704" s="376"/>
      <c r="T704" s="376"/>
      <c r="U704" s="376"/>
      <c r="V704" s="376"/>
    </row>
    <row r="705" spans="1:22" x14ac:dyDescent="0.25">
      <c r="A705" s="376"/>
      <c r="B705" s="439"/>
      <c r="C705" s="439"/>
      <c r="D705" s="439"/>
      <c r="E705" s="376"/>
      <c r="F705" s="376"/>
      <c r="G705" s="376"/>
      <c r="T705" s="376"/>
      <c r="U705" s="376"/>
      <c r="V705" s="376"/>
    </row>
    <row r="706" spans="1:22" x14ac:dyDescent="0.25">
      <c r="A706" s="376"/>
      <c r="B706" s="439"/>
      <c r="C706" s="439"/>
      <c r="D706" s="439"/>
      <c r="E706" s="376"/>
      <c r="F706" s="376"/>
      <c r="G706" s="376"/>
      <c r="T706" s="376"/>
      <c r="U706" s="376"/>
      <c r="V706" s="376"/>
    </row>
    <row r="707" spans="1:22" x14ac:dyDescent="0.25">
      <c r="A707" s="376"/>
      <c r="B707" s="439"/>
      <c r="C707" s="439"/>
      <c r="D707" s="439"/>
      <c r="E707" s="376"/>
      <c r="F707" s="376"/>
      <c r="G707" s="376"/>
      <c r="T707" s="376"/>
      <c r="U707" s="376"/>
      <c r="V707" s="376"/>
    </row>
    <row r="708" spans="1:22" x14ac:dyDescent="0.25">
      <c r="A708" s="376"/>
      <c r="B708" s="439"/>
      <c r="C708" s="439"/>
      <c r="D708" s="439"/>
      <c r="E708" s="376"/>
      <c r="F708" s="376"/>
      <c r="G708" s="376"/>
      <c r="T708" s="376"/>
      <c r="U708" s="376"/>
      <c r="V708" s="376"/>
    </row>
    <row r="709" spans="1:22" x14ac:dyDescent="0.25">
      <c r="A709" s="376"/>
      <c r="B709" s="439"/>
      <c r="C709" s="439"/>
      <c r="D709" s="439"/>
      <c r="E709" s="376"/>
      <c r="F709" s="376"/>
      <c r="G709" s="376"/>
      <c r="T709" s="376"/>
      <c r="U709" s="376"/>
      <c r="V709" s="376"/>
    </row>
    <row r="710" spans="1:22" x14ac:dyDescent="0.25">
      <c r="A710" s="376"/>
      <c r="B710" s="439"/>
      <c r="C710" s="439"/>
      <c r="D710" s="439"/>
      <c r="E710" s="376"/>
      <c r="F710" s="376"/>
      <c r="G710" s="376"/>
      <c r="T710" s="376"/>
      <c r="U710" s="376"/>
      <c r="V710" s="376"/>
    </row>
    <row r="711" spans="1:22" x14ac:dyDescent="0.25">
      <c r="A711" s="376"/>
      <c r="B711" s="439"/>
      <c r="C711" s="439"/>
      <c r="D711" s="439"/>
      <c r="E711" s="376"/>
      <c r="F711" s="376"/>
      <c r="G711" s="376"/>
      <c r="T711" s="376"/>
      <c r="U711" s="376"/>
      <c r="V711" s="376"/>
    </row>
    <row r="712" spans="1:22" x14ac:dyDescent="0.25">
      <c r="A712" s="376"/>
      <c r="B712" s="439"/>
      <c r="C712" s="439"/>
      <c r="D712" s="439"/>
      <c r="E712" s="376"/>
      <c r="F712" s="376"/>
      <c r="G712" s="376"/>
      <c r="T712" s="376"/>
      <c r="U712" s="376"/>
      <c r="V712" s="376"/>
    </row>
    <row r="713" spans="1:22" x14ac:dyDescent="0.25">
      <c r="A713" s="376"/>
      <c r="B713" s="439"/>
      <c r="C713" s="439"/>
      <c r="D713" s="439"/>
      <c r="E713" s="376"/>
      <c r="F713" s="376"/>
      <c r="G713" s="376"/>
      <c r="T713" s="376"/>
      <c r="U713" s="376"/>
      <c r="V713" s="376"/>
    </row>
    <row r="714" spans="1:22" x14ac:dyDescent="0.25">
      <c r="A714" s="376"/>
      <c r="B714" s="439"/>
      <c r="C714" s="439"/>
      <c r="D714" s="439"/>
      <c r="E714" s="376"/>
      <c r="F714" s="376"/>
      <c r="G714" s="376"/>
      <c r="T714" s="376"/>
      <c r="U714" s="376"/>
      <c r="V714" s="376"/>
    </row>
  </sheetData>
  <hyperlinks>
    <hyperlink ref="T15" r:id="rId1"/>
    <hyperlink ref="T507" r:id="rId2"/>
    <hyperlink ref="T183" r:id="rId3"/>
    <hyperlink ref="T303" r:id="rId4"/>
    <hyperlink ref="T123" r:id="rId5"/>
    <hyperlink ref="T99" r:id="rId6"/>
    <hyperlink ref="T111" r:id="rId7"/>
    <hyperlink ref="T159" r:id="rId8"/>
    <hyperlink ref="T315" r:id="rId9"/>
    <hyperlink ref="T171" r:id="rId10"/>
    <hyperlink ref="T135" r:id="rId11"/>
    <hyperlink ref="T147" r:id="rId12"/>
    <hyperlink ref="T447" r:id="rId13"/>
    <hyperlink ref="T339" r:id="rId14" location="MOESM247" display="https://www.nature.com/articles/ngeo2635 - MOESM247"/>
    <hyperlink ref="T327" r:id="rId15"/>
    <hyperlink ref="T291" r:id="rId16" location="investment-by-region" display="https://ourworldindata.org/renewable-energy - investment-by-region"/>
    <hyperlink ref="T279" r:id="rId17"/>
    <hyperlink ref="T351" r:id="rId18" location="data/RFN" display="http://www.fao.org/faostat/en/ - data/RFN"/>
    <hyperlink ref="T39" r:id="rId19" location="data/FBS" display="http://www.fao.org/faostat/en/ - data/FBS"/>
    <hyperlink ref="T27" r:id="rId20" location="data/FBS"/>
    <hyperlink ref="T3" r:id="rId21" location="data/FS" display="http://www.fao.org/faostat/en/ - data/FS"/>
    <hyperlink ref="T63" r:id="rId22" location="data/EL" display="http://www.fao.org/faostat/en/ - data/EL"/>
    <hyperlink ref="T483" r:id="rId23"/>
    <hyperlink ref="T471" r:id="rId24"/>
    <hyperlink ref="T531" r:id="rId25"/>
    <hyperlink ref="U183" r:id="rId26"/>
    <hyperlink ref="U387" r:id="rId27"/>
    <hyperlink ref="V387" r:id="rId28"/>
    <hyperlink ref="U195" r:id="rId29"/>
    <hyperlink ref="T363" r:id="rId30" location="data/RFN" display="http://www.fao.org/faostat/en/ - data/RFN"/>
    <hyperlink ref="T375" r:id="rId31"/>
    <hyperlink ref="V423" r:id="rId32"/>
    <hyperlink ref="U363" r:id="rId33"/>
    <hyperlink ref="U351" r:id="rId34"/>
    <hyperlink ref="U507" r:id="rId35" location="data/RL" display="http://www.fao.org/faostat/en/ - data/RL"/>
    <hyperlink ref="T51" r:id="rId36"/>
    <hyperlink ref="T75" r:id="rId37"/>
    <hyperlink ref="T87" r:id="rId38"/>
    <hyperlink ref="T207" r:id="rId39"/>
    <hyperlink ref="T219" r:id="rId40"/>
    <hyperlink ref="T231" r:id="rId41"/>
    <hyperlink ref="T243" r:id="rId42"/>
    <hyperlink ref="T255" r:id="rId43"/>
    <hyperlink ref="T267" r:id="rId44"/>
    <hyperlink ref="T519" r:id="rId45"/>
    <hyperlink ref="U471" r:id="rId46"/>
    <hyperlink ref="U483" r:id="rId47"/>
    <hyperlink ref="T495" r:id="rId48"/>
    <hyperlink ref="U315" r:id="rId49"/>
    <hyperlink ref="T399" r:id="rId50" location="data/GT" display="data/GT"/>
    <hyperlink ref="T435" r:id="rId51" location="data/GT" display="data/GT"/>
    <hyperlink ref="T411" r:id="rId52" location="data/GT" display="data/GT"/>
    <hyperlink ref="T423" r:id="rId53" location="data/GT" display="data/GT"/>
    <hyperlink ref="T459" r:id="rId54"/>
    <hyperlink ref="U219" r:id="rId55"/>
    <hyperlink ref="U207" r:id="rId56"/>
  </hyperlinks>
  <pageMargins left="0.7" right="0.7" top="0.75" bottom="0.75" header="0.3" footer="0.3"/>
  <pageSetup paperSize="9" orientation="portrait" horizontalDpi="1200" verticalDpi="1200" r:id="rId57"/>
  <tableParts count="1">
    <tablePart r:id="rId58"/>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26"/>
  <sheetViews>
    <sheetView zoomScale="80" zoomScaleNormal="80" workbookViewId="0">
      <selection activeCell="P519" sqref="P519"/>
    </sheetView>
  </sheetViews>
  <sheetFormatPr defaultColWidth="9" defaultRowHeight="15" x14ac:dyDescent="0.25"/>
  <cols>
    <col min="1" max="1" width="10.7109375" style="252" customWidth="1"/>
    <col min="2" max="2" width="50" style="340" customWidth="1"/>
    <col min="3" max="3" width="27" style="340" customWidth="1"/>
    <col min="4" max="4" width="33.42578125" style="340" customWidth="1"/>
    <col min="5" max="5" width="14" style="252" customWidth="1"/>
    <col min="6" max="6" width="10.7109375" style="252" customWidth="1"/>
    <col min="7" max="7" width="12.42578125" style="252" customWidth="1"/>
    <col min="8" max="8" width="18.140625" style="249" customWidth="1"/>
    <col min="9" max="9" width="14.7109375" style="249" customWidth="1"/>
    <col min="10" max="10" width="13.28515625" style="249" customWidth="1"/>
    <col min="11" max="12" width="11.42578125" style="249" customWidth="1"/>
    <col min="13" max="13" width="12.7109375" style="249" customWidth="1"/>
    <col min="14" max="14" width="8" style="249" customWidth="1"/>
    <col min="15" max="15" width="34.85546875" style="249" bestFit="1" customWidth="1"/>
    <col min="16" max="16" width="17.85546875" style="249" customWidth="1"/>
    <col min="17" max="17" width="13" style="249" customWidth="1"/>
    <col min="18" max="18" width="14" style="249" customWidth="1"/>
    <col min="19" max="19" width="31.7109375" style="249" customWidth="1"/>
    <col min="20" max="20" width="56.140625" style="249" customWidth="1"/>
    <col min="21" max="21" width="19.5703125" style="30" customWidth="1"/>
    <col min="22" max="22" width="40.140625" style="30" customWidth="1"/>
    <col min="23" max="16384" width="9" style="30"/>
  </cols>
  <sheetData>
    <row r="1" spans="1:23" ht="45" x14ac:dyDescent="0.25">
      <c r="A1" s="307" t="s">
        <v>526</v>
      </c>
      <c r="B1" s="335" t="s">
        <v>468</v>
      </c>
      <c r="C1" s="335" t="s">
        <v>408</v>
      </c>
      <c r="D1" s="335" t="s">
        <v>905</v>
      </c>
      <c r="E1" s="307" t="s">
        <v>906</v>
      </c>
      <c r="F1" s="307" t="s">
        <v>910</v>
      </c>
      <c r="G1" s="307" t="s">
        <v>911</v>
      </c>
      <c r="H1" s="307" t="s">
        <v>1047</v>
      </c>
      <c r="I1" s="307" t="s">
        <v>1059</v>
      </c>
      <c r="J1" s="307" t="s">
        <v>1048</v>
      </c>
      <c r="K1" s="307" t="s">
        <v>1049</v>
      </c>
      <c r="L1" s="307" t="s">
        <v>1056</v>
      </c>
      <c r="M1" s="307" t="s">
        <v>1043</v>
      </c>
      <c r="N1" s="307" t="s">
        <v>1052</v>
      </c>
      <c r="O1" s="307" t="s">
        <v>908</v>
      </c>
      <c r="P1" s="307" t="s">
        <v>1044</v>
      </c>
      <c r="Q1" s="307" t="s">
        <v>1045</v>
      </c>
      <c r="R1" s="307" t="s">
        <v>1046</v>
      </c>
      <c r="S1" s="307" t="s">
        <v>1057</v>
      </c>
      <c r="T1" s="307" t="s">
        <v>907</v>
      </c>
      <c r="U1" s="307" t="s">
        <v>664</v>
      </c>
      <c r="V1" s="247" t="s">
        <v>907</v>
      </c>
    </row>
    <row r="2" spans="1:23" s="262" customFormat="1" hidden="1" x14ac:dyDescent="0.25">
      <c r="A2" s="293"/>
      <c r="B2" s="290"/>
      <c r="C2" s="290"/>
      <c r="D2" s="290"/>
      <c r="E2" s="291">
        <v>2015</v>
      </c>
      <c r="F2" s="291">
        <v>2016</v>
      </c>
      <c r="G2" s="291">
        <v>2017</v>
      </c>
      <c r="H2" s="291"/>
      <c r="I2" s="291"/>
      <c r="J2" s="291"/>
      <c r="K2" s="291"/>
      <c r="L2" s="291">
        <f>Table1[[#This Row],[Green target threshold]]+Table1[[#This Row],[Green target threshold]]*0.5</f>
        <v>0</v>
      </c>
      <c r="M2" s="291"/>
      <c r="N2" s="291"/>
      <c r="O2" s="291"/>
      <c r="P2" s="291"/>
      <c r="Q2" s="291"/>
      <c r="R2" s="291"/>
      <c r="S2" s="291">
        <f>Table1[[#This Row],[Red target threshold]]-Table1[[#This Row],[Red target threshold]]*0.5</f>
        <v>0</v>
      </c>
      <c r="T2" s="291"/>
      <c r="U2" s="297"/>
    </row>
    <row r="3" spans="1:23" hidden="1" x14ac:dyDescent="0.25">
      <c r="A3" s="306" t="s">
        <v>856</v>
      </c>
      <c r="B3" s="336" t="s">
        <v>999</v>
      </c>
      <c r="C3" s="336" t="s">
        <v>473</v>
      </c>
      <c r="D3" s="336" t="s">
        <v>904</v>
      </c>
      <c r="E3" s="304">
        <v>121</v>
      </c>
      <c r="F3" s="304">
        <v>122</v>
      </c>
      <c r="G3" s="304">
        <v>122</v>
      </c>
      <c r="H3" s="305">
        <v>2017</v>
      </c>
      <c r="I3" s="305">
        <v>122</v>
      </c>
      <c r="J3" s="295">
        <f>2015</f>
        <v>2015</v>
      </c>
      <c r="K3" s="156">
        <v>137.345</v>
      </c>
      <c r="L3" s="295">
        <f>Table1[[#This Row],[Green target threshold]]+Table1[[#This Row],[Green target threshold]]*0.5</f>
        <v>230.39999999999998</v>
      </c>
      <c r="M3" s="305">
        <f>AVERAGE(G4:G8)</f>
        <v>153.6</v>
      </c>
      <c r="N3" s="305"/>
      <c r="O3" s="305" t="s">
        <v>978</v>
      </c>
      <c r="P3" s="305">
        <f>(M3-K3)*0.5+K3</f>
        <v>145.4725</v>
      </c>
      <c r="Q3" s="305">
        <f>K3</f>
        <v>137.345</v>
      </c>
      <c r="R3" s="305">
        <f>K3</f>
        <v>137.345</v>
      </c>
      <c r="S3" s="305">
        <f>Table1[[#This Row],[Red target threshold]]-Table1[[#This Row],[Red target threshold]]*0.5</f>
        <v>68.672499999999999</v>
      </c>
      <c r="T3" s="305"/>
      <c r="U3" s="303" t="s">
        <v>864</v>
      </c>
      <c r="V3" s="33"/>
      <c r="W3" s="33"/>
    </row>
    <row r="4" spans="1:23" hidden="1" x14ac:dyDescent="0.25">
      <c r="A4" s="270"/>
      <c r="B4" s="197"/>
      <c r="C4" s="197"/>
      <c r="D4" s="252" t="s">
        <v>808</v>
      </c>
      <c r="E4" s="253">
        <v>159</v>
      </c>
      <c r="F4" s="254">
        <v>160</v>
      </c>
      <c r="G4" s="255">
        <v>160</v>
      </c>
      <c r="H4" s="305">
        <v>2017</v>
      </c>
      <c r="I4" s="248">
        <v>160</v>
      </c>
      <c r="J4" s="248"/>
      <c r="K4" s="248"/>
      <c r="L4" s="248">
        <f>Table1[[#This Row],[Green target threshold]]+Table1[[#This Row],[Green target threshold]]*0.5</f>
        <v>0</v>
      </c>
      <c r="M4" s="248"/>
      <c r="N4" s="248"/>
      <c r="O4" s="248"/>
      <c r="P4" s="248"/>
      <c r="Q4" s="248"/>
      <c r="R4" s="248"/>
      <c r="S4" s="248">
        <f>Table1[[#This Row],[Red target threshold]]-Table1[[#This Row],[Red target threshold]]*0.5</f>
        <v>0</v>
      </c>
      <c r="T4" s="248"/>
      <c r="U4" s="281"/>
      <c r="V4" s="33"/>
      <c r="W4" s="33"/>
    </row>
    <row r="5" spans="1:23" hidden="1" x14ac:dyDescent="0.25">
      <c r="A5" s="270"/>
      <c r="B5" s="197"/>
      <c r="C5" s="197"/>
      <c r="D5" s="252" t="s">
        <v>832</v>
      </c>
      <c r="E5" s="253">
        <v>158</v>
      </c>
      <c r="F5" s="254">
        <v>158</v>
      </c>
      <c r="G5" s="255">
        <v>157</v>
      </c>
      <c r="H5" s="305">
        <v>2017</v>
      </c>
      <c r="I5" s="248">
        <v>157</v>
      </c>
      <c r="J5" s="248"/>
      <c r="K5" s="248"/>
      <c r="L5" s="248">
        <f>Table1[[#This Row],[Green target threshold]]+Table1[[#This Row],[Green target threshold]]*0.5</f>
        <v>0</v>
      </c>
      <c r="M5" s="248"/>
      <c r="N5" s="248"/>
      <c r="O5" s="248"/>
      <c r="P5" s="248"/>
      <c r="Q5" s="248"/>
      <c r="R5" s="248"/>
      <c r="S5" s="248">
        <f>Table1[[#This Row],[Red target threshold]]-Table1[[#This Row],[Red target threshold]]*0.5</f>
        <v>0</v>
      </c>
      <c r="T5" s="248"/>
      <c r="U5" s="281"/>
      <c r="V5" s="33"/>
      <c r="W5" s="33"/>
    </row>
    <row r="6" spans="1:23" hidden="1" x14ac:dyDescent="0.25">
      <c r="A6" s="270"/>
      <c r="B6" s="197"/>
      <c r="C6" s="197"/>
      <c r="D6" s="252" t="s">
        <v>857</v>
      </c>
      <c r="E6" s="253">
        <v>152</v>
      </c>
      <c r="F6" s="254">
        <v>153</v>
      </c>
      <c r="G6" s="255">
        <v>153</v>
      </c>
      <c r="H6" s="305">
        <v>2017</v>
      </c>
      <c r="I6" s="248">
        <v>153</v>
      </c>
      <c r="J6" s="248"/>
      <c r="K6" s="248"/>
      <c r="L6" s="248">
        <f>Table1[[#This Row],[Green target threshold]]+Table1[[#This Row],[Green target threshold]]*0.5</f>
        <v>0</v>
      </c>
      <c r="M6" s="248"/>
      <c r="N6" s="248"/>
      <c r="O6" s="248"/>
      <c r="P6" s="248"/>
      <c r="Q6" s="248"/>
      <c r="R6" s="248"/>
      <c r="S6" s="248">
        <f>Table1[[#This Row],[Red target threshold]]-Table1[[#This Row],[Red target threshold]]*0.5</f>
        <v>0</v>
      </c>
      <c r="T6" s="248"/>
      <c r="U6" s="281"/>
      <c r="V6" s="33"/>
      <c r="W6" s="33"/>
    </row>
    <row r="7" spans="1:23" hidden="1" x14ac:dyDescent="0.25">
      <c r="A7" s="270"/>
      <c r="B7" s="197"/>
      <c r="C7" s="197"/>
      <c r="D7" s="252" t="s">
        <v>858</v>
      </c>
      <c r="E7" s="253">
        <v>148</v>
      </c>
      <c r="F7" s="254">
        <v>149</v>
      </c>
      <c r="G7" s="255">
        <v>150</v>
      </c>
      <c r="H7" s="305">
        <v>2017</v>
      </c>
      <c r="I7" s="248">
        <v>150</v>
      </c>
      <c r="J7" s="248"/>
      <c r="K7" s="248"/>
      <c r="L7" s="248">
        <f>Table1[[#This Row],[Green target threshold]]+Table1[[#This Row],[Green target threshold]]*0.5</f>
        <v>0</v>
      </c>
      <c r="M7" s="248"/>
      <c r="N7" s="248"/>
      <c r="O7" s="248"/>
      <c r="P7" s="248"/>
      <c r="Q7" s="248"/>
      <c r="R7" s="248"/>
      <c r="S7" s="248">
        <f>Table1[[#This Row],[Red target threshold]]-Table1[[#This Row],[Red target threshold]]*0.5</f>
        <v>0</v>
      </c>
      <c r="T7" s="248"/>
      <c r="U7" s="281"/>
      <c r="V7" s="33"/>
      <c r="W7" s="33"/>
    </row>
    <row r="8" spans="1:23" hidden="1" x14ac:dyDescent="0.25">
      <c r="A8" s="270"/>
      <c r="B8" s="197"/>
      <c r="C8" s="197"/>
      <c r="D8" s="252" t="s">
        <v>859</v>
      </c>
      <c r="E8" s="253">
        <v>148</v>
      </c>
      <c r="F8" s="254">
        <v>148</v>
      </c>
      <c r="G8" s="255">
        <v>148</v>
      </c>
      <c r="H8" s="305">
        <v>2017</v>
      </c>
      <c r="I8" s="248">
        <v>148</v>
      </c>
      <c r="J8" s="248"/>
      <c r="K8" s="248"/>
      <c r="L8" s="248">
        <f>Table1[[#This Row],[Green target threshold]]+Table1[[#This Row],[Green target threshold]]*0.5</f>
        <v>0</v>
      </c>
      <c r="M8" s="248"/>
      <c r="N8" s="248"/>
      <c r="O8" s="248"/>
      <c r="P8" s="248"/>
      <c r="Q8" s="248"/>
      <c r="R8" s="248"/>
      <c r="S8" s="248">
        <f>Table1[[#This Row],[Red target threshold]]-Table1[[#This Row],[Red target threshold]]*0.5</f>
        <v>0</v>
      </c>
      <c r="T8" s="248"/>
      <c r="U8" s="281"/>
      <c r="V8" s="33"/>
      <c r="W8" s="33"/>
    </row>
    <row r="9" spans="1:23" hidden="1" x14ac:dyDescent="0.25">
      <c r="A9" s="270"/>
      <c r="B9" s="197"/>
      <c r="C9" s="197"/>
      <c r="D9" s="252" t="s">
        <v>860</v>
      </c>
      <c r="E9" s="256">
        <v>81</v>
      </c>
      <c r="F9" s="257">
        <v>80</v>
      </c>
      <c r="G9" s="258">
        <v>81</v>
      </c>
      <c r="H9" s="305">
        <v>2017</v>
      </c>
      <c r="I9" s="248">
        <v>81</v>
      </c>
      <c r="J9" s="248"/>
      <c r="K9" s="248"/>
      <c r="L9" s="248">
        <f>Table1[[#This Row],[Green target threshold]]+Table1[[#This Row],[Green target threshold]]*0.5</f>
        <v>0</v>
      </c>
      <c r="M9" s="248"/>
      <c r="N9" s="248"/>
      <c r="O9" s="248"/>
      <c r="P9" s="248"/>
      <c r="Q9" s="248"/>
      <c r="R9" s="248"/>
      <c r="S9" s="248">
        <f>Table1[[#This Row],[Red target threshold]]-Table1[[#This Row],[Red target threshold]]*0.5</f>
        <v>0</v>
      </c>
      <c r="T9" s="248"/>
      <c r="U9" s="281"/>
      <c r="V9" s="33"/>
      <c r="W9" s="33"/>
    </row>
    <row r="10" spans="1:23" hidden="1" x14ac:dyDescent="0.25">
      <c r="A10" s="270"/>
      <c r="B10" s="197"/>
      <c r="C10" s="197"/>
      <c r="D10" s="252" t="s">
        <v>861</v>
      </c>
      <c r="E10" s="256">
        <v>86</v>
      </c>
      <c r="F10" s="257">
        <v>85</v>
      </c>
      <c r="G10" s="258">
        <v>84</v>
      </c>
      <c r="H10" s="305">
        <v>2017</v>
      </c>
      <c r="I10" s="248">
        <v>84</v>
      </c>
      <c r="J10" s="248"/>
      <c r="K10" s="248"/>
      <c r="L10" s="248">
        <f>Table1[[#This Row],[Green target threshold]]+Table1[[#This Row],[Green target threshold]]*0.5</f>
        <v>0</v>
      </c>
      <c r="M10" s="248"/>
      <c r="N10" s="248"/>
      <c r="O10" s="248"/>
      <c r="P10" s="248"/>
      <c r="Q10" s="248"/>
      <c r="R10" s="248"/>
      <c r="S10" s="248">
        <f>Table1[[#This Row],[Red target threshold]]-Table1[[#This Row],[Red target threshold]]*0.5</f>
        <v>0</v>
      </c>
      <c r="T10" s="248"/>
      <c r="U10" s="281"/>
      <c r="V10" s="33"/>
      <c r="W10" s="33"/>
    </row>
    <row r="11" spans="1:23" hidden="1" x14ac:dyDescent="0.25">
      <c r="A11" s="270"/>
      <c r="B11" s="197"/>
      <c r="C11" s="197"/>
      <c r="D11" s="252" t="s">
        <v>685</v>
      </c>
      <c r="E11" s="256">
        <v>86</v>
      </c>
      <c r="F11" s="257">
        <v>85</v>
      </c>
      <c r="G11" s="258">
        <v>85</v>
      </c>
      <c r="H11" s="305">
        <v>2017</v>
      </c>
      <c r="I11" s="248">
        <v>85</v>
      </c>
      <c r="J11" s="248"/>
      <c r="K11" s="248"/>
      <c r="L11" s="248">
        <f>Table1[[#This Row],[Green target threshold]]+Table1[[#This Row],[Green target threshold]]*0.5</f>
        <v>0</v>
      </c>
      <c r="M11" s="248"/>
      <c r="N11" s="248"/>
      <c r="O11" s="248"/>
      <c r="P11" s="248"/>
      <c r="Q11" s="248"/>
      <c r="R11" s="248"/>
      <c r="S11" s="248">
        <f>Table1[[#This Row],[Red target threshold]]-Table1[[#This Row],[Red target threshold]]*0.5</f>
        <v>0</v>
      </c>
      <c r="T11" s="248"/>
      <c r="U11" s="281"/>
      <c r="V11" s="33"/>
      <c r="W11" s="33"/>
    </row>
    <row r="12" spans="1:23" hidden="1" x14ac:dyDescent="0.25">
      <c r="A12" s="270"/>
      <c r="B12" s="197"/>
      <c r="C12" s="197"/>
      <c r="D12" s="252" t="s">
        <v>862</v>
      </c>
      <c r="E12" s="256">
        <v>96</v>
      </c>
      <c r="F12" s="257">
        <v>92</v>
      </c>
      <c r="G12" s="258">
        <v>87</v>
      </c>
      <c r="H12" s="305">
        <v>2017</v>
      </c>
      <c r="I12" s="248">
        <v>87</v>
      </c>
      <c r="J12" s="248"/>
      <c r="K12" s="248"/>
      <c r="L12" s="248">
        <f>Table1[[#This Row],[Green target threshold]]+Table1[[#This Row],[Green target threshold]]*0.5</f>
        <v>0</v>
      </c>
      <c r="M12" s="248"/>
      <c r="N12" s="248"/>
      <c r="O12" s="248"/>
      <c r="P12" s="248"/>
      <c r="Q12" s="248"/>
      <c r="R12" s="248"/>
      <c r="S12" s="248">
        <f>Table1[[#This Row],[Red target threshold]]-Table1[[#This Row],[Red target threshold]]*0.5</f>
        <v>0</v>
      </c>
      <c r="T12" s="248"/>
      <c r="U12" s="281"/>
      <c r="V12" s="33"/>
      <c r="W12" s="33"/>
    </row>
    <row r="13" spans="1:23" hidden="1" x14ac:dyDescent="0.25">
      <c r="A13" s="270"/>
      <c r="B13" s="197"/>
      <c r="C13" s="197"/>
      <c r="D13" s="252" t="s">
        <v>863</v>
      </c>
      <c r="E13" s="256">
        <v>91</v>
      </c>
      <c r="F13" s="257">
        <v>90</v>
      </c>
      <c r="G13" s="258">
        <v>89</v>
      </c>
      <c r="H13" s="305">
        <v>2017</v>
      </c>
      <c r="I13" s="248">
        <v>89</v>
      </c>
      <c r="J13" s="248"/>
      <c r="K13" s="248"/>
      <c r="L13" s="248">
        <f>Table1[[#This Row],[Green target threshold]]+Table1[[#This Row],[Green target threshold]]*0.5</f>
        <v>0</v>
      </c>
      <c r="M13" s="248"/>
      <c r="N13" s="248"/>
      <c r="O13" s="248"/>
      <c r="P13" s="248"/>
      <c r="Q13" s="248"/>
      <c r="R13" s="248"/>
      <c r="S13" s="248">
        <f>Table1[[#This Row],[Red target threshold]]-Table1[[#This Row],[Red target threshold]]*0.5</f>
        <v>0</v>
      </c>
      <c r="T13" s="248"/>
      <c r="U13" s="281"/>
      <c r="V13" s="33"/>
      <c r="W13" s="33"/>
    </row>
    <row r="14" spans="1:23" s="262" customFormat="1" hidden="1" x14ac:dyDescent="0.25">
      <c r="A14" s="293"/>
      <c r="B14" s="290"/>
      <c r="C14" s="290"/>
      <c r="D14" s="290"/>
      <c r="E14" s="291">
        <v>2015</v>
      </c>
      <c r="F14" s="291">
        <v>2016</v>
      </c>
      <c r="G14" s="291">
        <v>2017</v>
      </c>
      <c r="H14" s="291"/>
      <c r="I14" s="291"/>
      <c r="J14" s="291"/>
      <c r="K14" s="291"/>
      <c r="L14" s="291">
        <f>Table1[[#This Row],[Green target threshold]]+Table1[[#This Row],[Green target threshold]]*0.5</f>
        <v>0</v>
      </c>
      <c r="M14" s="291"/>
      <c r="N14" s="291"/>
      <c r="O14" s="291"/>
      <c r="P14" s="291"/>
      <c r="Q14" s="291"/>
      <c r="R14" s="291"/>
      <c r="S14" s="291">
        <f>Table1[[#This Row],[Red target threshold]]-Table1[[#This Row],[Red target threshold]]*0.5</f>
        <v>0</v>
      </c>
      <c r="T14" s="291"/>
      <c r="U14" s="297"/>
    </row>
    <row r="15" spans="1:23" hidden="1" x14ac:dyDescent="0.25">
      <c r="A15" s="302" t="s">
        <v>534</v>
      </c>
      <c r="B15" s="337" t="s">
        <v>538</v>
      </c>
      <c r="C15" s="337" t="s">
        <v>667</v>
      </c>
      <c r="D15" s="336" t="s">
        <v>904</v>
      </c>
      <c r="E15" s="304">
        <v>3938.7696571541301</v>
      </c>
      <c r="F15" s="304">
        <v>3967.0291970742301</v>
      </c>
      <c r="G15" s="304">
        <v>4074.1755858883198</v>
      </c>
      <c r="H15" s="305">
        <v>2017</v>
      </c>
      <c r="I15" s="305">
        <v>4074.1755858883198</v>
      </c>
      <c r="J15" s="305">
        <v>2015</v>
      </c>
      <c r="K15" s="295">
        <v>3458.13</v>
      </c>
      <c r="L15" s="295">
        <f>Table1[[#This Row],[Green target threshold]]+Table1[[#This Row],[Green target threshold]]*0.5</f>
        <v>14417.52</v>
      </c>
      <c r="M15" s="305">
        <f>AVERAGE(G16:G20)</f>
        <v>9611.68</v>
      </c>
      <c r="N15" s="305"/>
      <c r="O15" s="305" t="s">
        <v>978</v>
      </c>
      <c r="P15" s="305">
        <f>(M15-K15)*0.5+K15</f>
        <v>6534.9050000000007</v>
      </c>
      <c r="Q15" s="305">
        <f>K15</f>
        <v>3458.13</v>
      </c>
      <c r="R15" s="305">
        <f>K15</f>
        <v>3458.13</v>
      </c>
      <c r="S15" s="305">
        <f>Table1[[#This Row],[Red target threshold]]-Table1[[#This Row],[Red target threshold]]*0.5</f>
        <v>1729.0650000000001</v>
      </c>
      <c r="T15" s="305"/>
      <c r="U15" s="303" t="s">
        <v>665</v>
      </c>
    </row>
    <row r="16" spans="1:23" hidden="1" x14ac:dyDescent="0.25">
      <c r="A16" s="271"/>
      <c r="B16" s="173"/>
      <c r="C16" s="173"/>
      <c r="D16" s="173" t="s">
        <v>678</v>
      </c>
      <c r="E16" s="253">
        <v>13956.1</v>
      </c>
      <c r="F16" s="254">
        <v>12931.2</v>
      </c>
      <c r="G16" s="255">
        <v>12964.2</v>
      </c>
      <c r="H16" s="305">
        <v>2017</v>
      </c>
      <c r="I16" s="248">
        <v>12964.2</v>
      </c>
      <c r="J16" s="248"/>
      <c r="K16" s="248"/>
      <c r="L16" s="248">
        <f>Table1[[#This Row],[Green target threshold]]+Table1[[#This Row],[Green target threshold]]*0.5</f>
        <v>0</v>
      </c>
      <c r="M16" s="248"/>
      <c r="N16" s="248"/>
      <c r="O16" s="248"/>
      <c r="P16" s="248"/>
      <c r="Q16" s="248"/>
      <c r="R16" s="248"/>
      <c r="S16" s="248">
        <f>Table1[[#This Row],[Red target threshold]]-Table1[[#This Row],[Red target threshold]]*0.5</f>
        <v>0</v>
      </c>
      <c r="T16" s="248"/>
      <c r="U16" s="278"/>
    </row>
    <row r="17" spans="1:21" hidden="1" x14ac:dyDescent="0.25">
      <c r="A17" s="271"/>
      <c r="B17" s="173"/>
      <c r="C17" s="173"/>
      <c r="D17" s="173" t="s">
        <v>679</v>
      </c>
      <c r="E17" s="253">
        <v>9842.2000000000007</v>
      </c>
      <c r="F17" s="254">
        <v>6984.8</v>
      </c>
      <c r="G17" s="255">
        <v>9050.7000000000007</v>
      </c>
      <c r="H17" s="305">
        <v>2017</v>
      </c>
      <c r="I17" s="248">
        <v>9050.7000000000007</v>
      </c>
      <c r="J17" s="248"/>
      <c r="K17" s="248"/>
      <c r="L17" s="248">
        <f>Table1[[#This Row],[Green target threshold]]+Table1[[#This Row],[Green target threshold]]*0.5</f>
        <v>0</v>
      </c>
      <c r="M17" s="248"/>
      <c r="N17" s="248"/>
      <c r="O17" s="248"/>
      <c r="P17" s="248"/>
      <c r="Q17" s="248"/>
      <c r="R17" s="248"/>
      <c r="S17" s="248">
        <f>Table1[[#This Row],[Red target threshold]]-Table1[[#This Row],[Red target threshold]]*0.5</f>
        <v>0</v>
      </c>
      <c r="T17" s="248"/>
      <c r="U17" s="278"/>
    </row>
    <row r="18" spans="1:21" hidden="1" x14ac:dyDescent="0.25">
      <c r="A18" s="271"/>
      <c r="B18" s="173"/>
      <c r="C18" s="173"/>
      <c r="D18" s="173" t="s">
        <v>680</v>
      </c>
      <c r="E18" s="253">
        <v>8752.7999999999993</v>
      </c>
      <c r="F18" s="254">
        <v>7776.9</v>
      </c>
      <c r="G18" s="255">
        <v>8794.1</v>
      </c>
      <c r="H18" s="305">
        <v>2017</v>
      </c>
      <c r="I18" s="248">
        <v>8794.1</v>
      </c>
      <c r="J18" s="248"/>
      <c r="K18" s="248"/>
      <c r="L18" s="248">
        <f>Table1[[#This Row],[Green target threshold]]+Table1[[#This Row],[Green target threshold]]*0.5</f>
        <v>0</v>
      </c>
      <c r="M18" s="248"/>
      <c r="N18" s="248"/>
      <c r="O18" s="248"/>
      <c r="P18" s="248"/>
      <c r="Q18" s="248"/>
      <c r="R18" s="248"/>
      <c r="S18" s="248">
        <f>Table1[[#This Row],[Red target threshold]]-Table1[[#This Row],[Red target threshold]]*0.5</f>
        <v>0</v>
      </c>
      <c r="T18" s="248"/>
      <c r="U18" s="278"/>
    </row>
    <row r="19" spans="1:21" hidden="1" x14ac:dyDescent="0.25">
      <c r="A19" s="271"/>
      <c r="B19" s="173"/>
      <c r="C19" s="173"/>
      <c r="D19" s="173" t="s">
        <v>681</v>
      </c>
      <c r="E19" s="253">
        <v>9008.6</v>
      </c>
      <c r="F19" s="254">
        <v>8223.1</v>
      </c>
      <c r="G19" s="255">
        <v>8785</v>
      </c>
      <c r="H19" s="305">
        <v>2017</v>
      </c>
      <c r="I19" s="248">
        <v>8785</v>
      </c>
      <c r="J19" s="248"/>
      <c r="K19" s="248"/>
      <c r="L19" s="248">
        <f>Table1[[#This Row],[Green target threshold]]+Table1[[#This Row],[Green target threshold]]*0.5</f>
        <v>0</v>
      </c>
      <c r="M19" s="248"/>
      <c r="N19" s="248"/>
      <c r="O19" s="248"/>
      <c r="P19" s="248"/>
      <c r="Q19" s="248"/>
      <c r="R19" s="248"/>
      <c r="S19" s="248">
        <f>Table1[[#This Row],[Red target threshold]]-Table1[[#This Row],[Red target threshold]]*0.5</f>
        <v>0</v>
      </c>
      <c r="T19" s="248"/>
      <c r="U19" s="278"/>
    </row>
    <row r="20" spans="1:21" hidden="1" x14ac:dyDescent="0.25">
      <c r="A20" s="271"/>
      <c r="B20" s="173"/>
      <c r="C20" s="173"/>
      <c r="D20" s="173" t="s">
        <v>682</v>
      </c>
      <c r="E20" s="253">
        <v>8026.6</v>
      </c>
      <c r="F20" s="254">
        <v>8383.7999999999993</v>
      </c>
      <c r="G20" s="255">
        <v>8464.4</v>
      </c>
      <c r="H20" s="305">
        <v>2017</v>
      </c>
      <c r="I20" s="248">
        <v>8464.4</v>
      </c>
      <c r="J20" s="248"/>
      <c r="K20" s="248"/>
      <c r="L20" s="248">
        <f>Table1[[#This Row],[Green target threshold]]+Table1[[#This Row],[Green target threshold]]*0.5</f>
        <v>0</v>
      </c>
      <c r="M20" s="248"/>
      <c r="N20" s="248"/>
      <c r="O20" s="248"/>
      <c r="P20" s="248"/>
      <c r="Q20" s="248"/>
      <c r="R20" s="248"/>
      <c r="S20" s="248">
        <f>Table1[[#This Row],[Red target threshold]]-Table1[[#This Row],[Red target threshold]]*0.5</f>
        <v>0</v>
      </c>
      <c r="T20" s="248"/>
      <c r="U20" s="278"/>
    </row>
    <row r="21" spans="1:21" hidden="1" x14ac:dyDescent="0.25">
      <c r="A21" s="271"/>
      <c r="B21" s="173"/>
      <c r="C21" s="173"/>
      <c r="D21" s="173" t="s">
        <v>676</v>
      </c>
      <c r="E21" s="256">
        <v>551.29999999999995</v>
      </c>
      <c r="F21" s="257">
        <v>536.5</v>
      </c>
      <c r="G21" s="258">
        <v>541.9</v>
      </c>
      <c r="H21" s="305">
        <v>2017</v>
      </c>
      <c r="I21" s="248">
        <v>541.9</v>
      </c>
      <c r="J21" s="248"/>
      <c r="K21" s="248"/>
      <c r="L21" s="248">
        <f>Table1[[#This Row],[Green target threshold]]+Table1[[#This Row],[Green target threshold]]*0.5</f>
        <v>0</v>
      </c>
      <c r="M21" s="248"/>
      <c r="N21" s="248"/>
      <c r="O21" s="248"/>
      <c r="P21" s="248"/>
      <c r="Q21" s="248"/>
      <c r="R21" s="248"/>
      <c r="S21" s="248">
        <f>Table1[[#This Row],[Red target threshold]]-Table1[[#This Row],[Red target threshold]]*0.5</f>
        <v>0</v>
      </c>
      <c r="T21" s="248"/>
      <c r="U21" s="278"/>
    </row>
    <row r="22" spans="1:21" hidden="1" x14ac:dyDescent="0.25">
      <c r="A22" s="271"/>
      <c r="B22" s="173"/>
      <c r="C22" s="173"/>
      <c r="D22" s="173" t="s">
        <v>683</v>
      </c>
      <c r="E22" s="256">
        <v>538</v>
      </c>
      <c r="F22" s="257">
        <v>507.2</v>
      </c>
      <c r="G22" s="258">
        <v>547</v>
      </c>
      <c r="H22" s="305">
        <v>2017</v>
      </c>
      <c r="I22" s="248">
        <v>547</v>
      </c>
      <c r="J22" s="248"/>
      <c r="K22" s="248"/>
      <c r="L22" s="248">
        <f>Table1[[#This Row],[Green target threshold]]+Table1[[#This Row],[Green target threshold]]*0.5</f>
        <v>0</v>
      </c>
      <c r="M22" s="248"/>
      <c r="N22" s="248"/>
      <c r="O22" s="248"/>
      <c r="P22" s="248"/>
      <c r="Q22" s="248"/>
      <c r="R22" s="248"/>
      <c r="S22" s="248">
        <f>Table1[[#This Row],[Red target threshold]]-Table1[[#This Row],[Red target threshold]]*0.5</f>
        <v>0</v>
      </c>
      <c r="T22" s="248"/>
      <c r="U22" s="278"/>
    </row>
    <row r="23" spans="1:21" hidden="1" x14ac:dyDescent="0.25">
      <c r="A23" s="271"/>
      <c r="B23" s="173"/>
      <c r="C23" s="173"/>
      <c r="D23" s="173" t="s">
        <v>684</v>
      </c>
      <c r="E23" s="256">
        <v>553.6</v>
      </c>
      <c r="F23" s="257">
        <v>1279.4000000000001</v>
      </c>
      <c r="G23" s="258">
        <v>609.20000000000005</v>
      </c>
      <c r="H23" s="305">
        <v>2017</v>
      </c>
      <c r="I23" s="248">
        <v>609.20000000000005</v>
      </c>
      <c r="J23" s="248"/>
      <c r="K23" s="248"/>
      <c r="L23" s="248">
        <f>Table1[[#This Row],[Green target threshold]]+Table1[[#This Row],[Green target threshold]]*0.5</f>
        <v>0</v>
      </c>
      <c r="M23" s="248"/>
      <c r="N23" s="248"/>
      <c r="O23" s="248"/>
      <c r="P23" s="248"/>
      <c r="Q23" s="248"/>
      <c r="R23" s="248"/>
      <c r="S23" s="248">
        <f>Table1[[#This Row],[Red target threshold]]-Table1[[#This Row],[Red target threshold]]*0.5</f>
        <v>0</v>
      </c>
      <c r="T23" s="248"/>
      <c r="U23" s="278"/>
    </row>
    <row r="24" spans="1:21" hidden="1" x14ac:dyDescent="0.25">
      <c r="A24" s="271"/>
      <c r="B24" s="173"/>
      <c r="C24" s="173"/>
      <c r="D24" s="173" t="s">
        <v>685</v>
      </c>
      <c r="E24" s="256">
        <v>558.20000000000005</v>
      </c>
      <c r="F24" s="257">
        <v>581.79999999999995</v>
      </c>
      <c r="G24" s="258">
        <v>616</v>
      </c>
      <c r="H24" s="305">
        <v>2017</v>
      </c>
      <c r="I24" s="248">
        <v>616</v>
      </c>
      <c r="J24" s="248"/>
      <c r="K24" s="248"/>
      <c r="L24" s="248">
        <f>Table1[[#This Row],[Green target threshold]]+Table1[[#This Row],[Green target threshold]]*0.5</f>
        <v>0</v>
      </c>
      <c r="M24" s="248"/>
      <c r="N24" s="248"/>
      <c r="O24" s="248"/>
      <c r="P24" s="248"/>
      <c r="Q24" s="248"/>
      <c r="R24" s="248"/>
      <c r="S24" s="248">
        <f>Table1[[#This Row],[Red target threshold]]-Table1[[#This Row],[Red target threshold]]*0.5</f>
        <v>0</v>
      </c>
      <c r="T24" s="248"/>
      <c r="U24" s="278"/>
    </row>
    <row r="25" spans="1:21" hidden="1" x14ac:dyDescent="0.25">
      <c r="A25" s="271"/>
      <c r="B25" s="173"/>
      <c r="C25" s="173"/>
      <c r="D25" s="173" t="s">
        <v>686</v>
      </c>
      <c r="E25" s="256">
        <v>569.9</v>
      </c>
      <c r="F25" s="257">
        <v>684.8</v>
      </c>
      <c r="G25" s="258">
        <v>674.2</v>
      </c>
      <c r="H25" s="305">
        <v>2017</v>
      </c>
      <c r="I25" s="248">
        <v>674.2</v>
      </c>
      <c r="J25" s="248"/>
      <c r="K25" s="248"/>
      <c r="L25" s="248">
        <f>Table1[[#This Row],[Green target threshold]]+Table1[[#This Row],[Green target threshold]]*0.5</f>
        <v>0</v>
      </c>
      <c r="M25" s="248"/>
      <c r="N25" s="248"/>
      <c r="O25" s="248"/>
      <c r="P25" s="248"/>
      <c r="Q25" s="248"/>
      <c r="R25" s="248"/>
      <c r="S25" s="248">
        <f>Table1[[#This Row],[Red target threshold]]-Table1[[#This Row],[Red target threshold]]*0.5</f>
        <v>0</v>
      </c>
      <c r="T25" s="248"/>
      <c r="U25" s="278"/>
    </row>
    <row r="26" spans="1:21" s="262" customFormat="1" hidden="1" x14ac:dyDescent="0.25">
      <c r="A26" s="293"/>
      <c r="B26" s="290"/>
      <c r="C26" s="290"/>
      <c r="D26" s="290"/>
      <c r="E26" s="291">
        <v>2015</v>
      </c>
      <c r="F26" s="291">
        <v>2016</v>
      </c>
      <c r="G26" s="291">
        <v>2017</v>
      </c>
      <c r="H26" s="291"/>
      <c r="I26" s="291"/>
      <c r="J26" s="291"/>
      <c r="K26" s="291"/>
      <c r="L26" s="291">
        <f>Table1[[#This Row],[Green target threshold]]+Table1[[#This Row],[Green target threshold]]*0.5</f>
        <v>0</v>
      </c>
      <c r="M26" s="291"/>
      <c r="N26" s="291"/>
      <c r="O26" s="291"/>
      <c r="P26" s="291"/>
      <c r="Q26" s="291"/>
      <c r="R26" s="291"/>
      <c r="S26" s="291">
        <f>Table1[[#This Row],[Red target threshold]]-Table1[[#This Row],[Red target threshold]]*0.5</f>
        <v>0</v>
      </c>
      <c r="T26" s="291"/>
      <c r="U26" s="297"/>
    </row>
    <row r="27" spans="1:21" x14ac:dyDescent="0.25">
      <c r="A27" s="302" t="s">
        <v>535</v>
      </c>
      <c r="B27" s="337" t="s">
        <v>509</v>
      </c>
      <c r="C27" s="337" t="s">
        <v>1038</v>
      </c>
      <c r="D27" s="336" t="s">
        <v>904</v>
      </c>
      <c r="E27" s="304">
        <v>6579602</v>
      </c>
      <c r="F27" s="304">
        <v>6710148</v>
      </c>
      <c r="G27" s="304">
        <v>6898596</v>
      </c>
      <c r="H27" s="305">
        <v>2017</v>
      </c>
      <c r="I27" s="305">
        <v>6898596</v>
      </c>
      <c r="J27" s="248">
        <v>2015</v>
      </c>
      <c r="K27" s="309">
        <v>6788270</v>
      </c>
      <c r="L27" s="313">
        <f>Table1[[#This Row],[Green target threshold]]+Table1[[#This Row],[Green target threshold]]*0.5</f>
        <v>15273607.5</v>
      </c>
      <c r="M27" s="310">
        <f>Table1[[#This Row],[Model reference value]]+Table1[[#This Row],[Model reference value]]*Table1[[#This Row],[Improvement rate]]</f>
        <v>10182405</v>
      </c>
      <c r="N27" s="310">
        <v>0.5</v>
      </c>
      <c r="O27" s="305" t="s">
        <v>1140</v>
      </c>
      <c r="P27" s="305">
        <f>(M27-K27)*0.5+K27</f>
        <v>8485337.5</v>
      </c>
      <c r="Q27" s="305">
        <f>K27</f>
        <v>6788270</v>
      </c>
      <c r="R27" s="305">
        <f>K27</f>
        <v>6788270</v>
      </c>
      <c r="S27" s="305">
        <f>Table1[[#This Row],[Red target threshold]]-Table1[[#This Row],[Red target threshold]]*0.5</f>
        <v>3394135</v>
      </c>
      <c r="T27" s="305" t="s">
        <v>1065</v>
      </c>
      <c r="U27" s="303" t="s">
        <v>852</v>
      </c>
    </row>
    <row r="28" spans="1:21" hidden="1" x14ac:dyDescent="0.25">
      <c r="A28" s="271"/>
      <c r="B28" s="173"/>
      <c r="C28" s="173"/>
      <c r="D28" s="173"/>
      <c r="E28" s="253"/>
      <c r="F28" s="254"/>
      <c r="G28" s="255"/>
      <c r="H28" s="305"/>
      <c r="I28" s="248"/>
      <c r="J28" s="248"/>
      <c r="K28" s="248"/>
      <c r="L28" s="248">
        <f>Table1[[#This Row],[Green target threshold]]+Table1[[#This Row],[Green target threshold]]*0.5</f>
        <v>0</v>
      </c>
      <c r="M28" s="248"/>
      <c r="N28" s="248"/>
      <c r="O28" s="248"/>
      <c r="P28" s="248"/>
      <c r="Q28" s="248"/>
      <c r="R28" s="248"/>
      <c r="S28" s="248">
        <f>Table1[[#This Row],[Red target threshold]]-Table1[[#This Row],[Red target threshold]]*0.5</f>
        <v>0</v>
      </c>
      <c r="T28" s="248"/>
      <c r="U28" s="278"/>
    </row>
    <row r="29" spans="1:21" hidden="1" x14ac:dyDescent="0.25">
      <c r="A29" s="271"/>
      <c r="B29" s="173"/>
      <c r="C29" s="173"/>
      <c r="D29" s="197"/>
      <c r="E29" s="253"/>
      <c r="F29" s="254"/>
      <c r="G29" s="255"/>
      <c r="H29" s="305"/>
      <c r="I29" s="248"/>
      <c r="J29" s="248"/>
      <c r="K29" s="248"/>
      <c r="L29" s="329">
        <f>Table1[[#This Row],[Green target threshold]]+Table1[[#This Row],[Green target threshold]]*0.5</f>
        <v>0</v>
      </c>
      <c r="M29" s="248"/>
      <c r="N29" s="248"/>
      <c r="O29" s="248"/>
      <c r="P29" s="329"/>
      <c r="Q29" s="329"/>
      <c r="R29" s="329"/>
      <c r="S29" s="329">
        <f>Table1[[#This Row],[Red target threshold]]-Table1[[#This Row],[Red target threshold]]*0.5</f>
        <v>0</v>
      </c>
      <c r="T29" s="248"/>
      <c r="U29" s="278"/>
    </row>
    <row r="30" spans="1:21" hidden="1" x14ac:dyDescent="0.25">
      <c r="A30" s="271"/>
      <c r="B30" s="173"/>
      <c r="C30" s="173"/>
      <c r="D30" s="197"/>
      <c r="E30" s="253"/>
      <c r="F30" s="254"/>
      <c r="G30" s="255"/>
      <c r="H30" s="305"/>
      <c r="I30" s="248"/>
      <c r="J30" s="248"/>
      <c r="K30" s="248"/>
      <c r="L30" s="329">
        <f>Table1[[#This Row],[Green target threshold]]+Table1[[#This Row],[Green target threshold]]*0.5</f>
        <v>0</v>
      </c>
      <c r="M30" s="248"/>
      <c r="N30" s="248"/>
      <c r="O30" s="248"/>
      <c r="P30" s="329"/>
      <c r="Q30" s="329"/>
      <c r="R30" s="329"/>
      <c r="S30" s="329">
        <f>Table1[[#This Row],[Red target threshold]]-Table1[[#This Row],[Red target threshold]]*0.5</f>
        <v>0</v>
      </c>
      <c r="T30" s="248"/>
      <c r="U30" s="278"/>
    </row>
    <row r="31" spans="1:21" hidden="1" x14ac:dyDescent="0.25">
      <c r="A31" s="271"/>
      <c r="B31" s="173"/>
      <c r="C31" s="173"/>
      <c r="D31" s="197"/>
      <c r="E31" s="253"/>
      <c r="F31" s="254"/>
      <c r="G31" s="255"/>
      <c r="H31" s="305"/>
      <c r="I31" s="248"/>
      <c r="J31" s="248"/>
      <c r="K31" s="248"/>
      <c r="L31" s="329">
        <f>Table1[[#This Row],[Green target threshold]]+Table1[[#This Row],[Green target threshold]]*0.5</f>
        <v>0</v>
      </c>
      <c r="M31" s="248"/>
      <c r="N31" s="248"/>
      <c r="O31" s="248"/>
      <c r="P31" s="329"/>
      <c r="Q31" s="329"/>
      <c r="R31" s="329"/>
      <c r="S31" s="329">
        <f>Table1[[#This Row],[Red target threshold]]-Table1[[#This Row],[Red target threshold]]*0.5</f>
        <v>0</v>
      </c>
      <c r="T31" s="248"/>
      <c r="U31" s="278"/>
    </row>
    <row r="32" spans="1:21" hidden="1" x14ac:dyDescent="0.25">
      <c r="A32" s="271"/>
      <c r="B32" s="173"/>
      <c r="C32" s="173"/>
      <c r="D32" s="197"/>
      <c r="E32" s="253"/>
      <c r="F32" s="254"/>
      <c r="G32" s="255"/>
      <c r="H32" s="305"/>
      <c r="I32" s="248"/>
      <c r="J32" s="248"/>
      <c r="K32" s="248"/>
      <c r="L32" s="329">
        <f>Table1[[#This Row],[Green target threshold]]+Table1[[#This Row],[Green target threshold]]*0.5</f>
        <v>0</v>
      </c>
      <c r="M32" s="248"/>
      <c r="N32" s="248"/>
      <c r="O32" s="248"/>
      <c r="P32" s="329"/>
      <c r="Q32" s="329"/>
      <c r="R32" s="329"/>
      <c r="S32" s="329">
        <f>Table1[[#This Row],[Red target threshold]]-Table1[[#This Row],[Red target threshold]]*0.5</f>
        <v>0</v>
      </c>
      <c r="T32" s="248"/>
      <c r="U32" s="278"/>
    </row>
    <row r="33" spans="1:21" hidden="1" x14ac:dyDescent="0.25">
      <c r="A33" s="271"/>
      <c r="B33" s="173"/>
      <c r="C33" s="173"/>
      <c r="D33" s="173"/>
      <c r="E33" s="256"/>
      <c r="F33" s="257"/>
      <c r="G33" s="258"/>
      <c r="H33" s="305"/>
      <c r="I33" s="248"/>
      <c r="J33" s="248"/>
      <c r="K33" s="248"/>
      <c r="L33" s="248">
        <f>Table1[[#This Row],[Green target threshold]]+Table1[[#This Row],[Green target threshold]]*0.5</f>
        <v>0</v>
      </c>
      <c r="M33" s="248"/>
      <c r="N33" s="248"/>
      <c r="O33" s="248"/>
      <c r="P33" s="248"/>
      <c r="Q33" s="248"/>
      <c r="R33" s="248"/>
      <c r="S33" s="248">
        <f>Table1[[#This Row],[Red target threshold]]-Table1[[#This Row],[Red target threshold]]*0.5</f>
        <v>0</v>
      </c>
      <c r="T33" s="248"/>
      <c r="U33" s="278"/>
    </row>
    <row r="34" spans="1:21" hidden="1" x14ac:dyDescent="0.25">
      <c r="A34" s="271"/>
      <c r="B34" s="173"/>
      <c r="C34" s="173"/>
      <c r="D34" s="173"/>
      <c r="E34" s="256"/>
      <c r="F34" s="257"/>
      <c r="G34" s="258"/>
      <c r="H34" s="305"/>
      <c r="I34" s="248"/>
      <c r="J34" s="248"/>
      <c r="K34" s="248"/>
      <c r="L34" s="248">
        <f>Table1[[#This Row],[Green target threshold]]+Table1[[#This Row],[Green target threshold]]*0.5</f>
        <v>0</v>
      </c>
      <c r="M34" s="248"/>
      <c r="N34" s="248"/>
      <c r="O34" s="248"/>
      <c r="P34" s="248"/>
      <c r="Q34" s="248"/>
      <c r="R34" s="248"/>
      <c r="S34" s="248">
        <f>Table1[[#This Row],[Red target threshold]]-Table1[[#This Row],[Red target threshold]]*0.5</f>
        <v>0</v>
      </c>
      <c r="T34" s="248"/>
      <c r="U34" s="278"/>
    </row>
    <row r="35" spans="1:21" hidden="1" x14ac:dyDescent="0.25">
      <c r="A35" s="271"/>
      <c r="B35" s="173"/>
      <c r="C35" s="173"/>
      <c r="D35" s="197"/>
      <c r="E35" s="256"/>
      <c r="F35" s="257"/>
      <c r="G35" s="258"/>
      <c r="H35" s="305"/>
      <c r="I35" s="248"/>
      <c r="J35" s="248"/>
      <c r="K35" s="248"/>
      <c r="L35" s="329">
        <f>Table1[[#This Row],[Green target threshold]]+Table1[[#This Row],[Green target threshold]]*0.5</f>
        <v>0</v>
      </c>
      <c r="M35" s="248"/>
      <c r="N35" s="248"/>
      <c r="O35" s="248"/>
      <c r="P35" s="329"/>
      <c r="Q35" s="329"/>
      <c r="R35" s="329"/>
      <c r="S35" s="329">
        <f>Table1[[#This Row],[Red target threshold]]-Table1[[#This Row],[Red target threshold]]*0.5</f>
        <v>0</v>
      </c>
      <c r="T35" s="248"/>
      <c r="U35" s="278"/>
    </row>
    <row r="36" spans="1:21" hidden="1" x14ac:dyDescent="0.25">
      <c r="A36" s="271"/>
      <c r="B36" s="173"/>
      <c r="C36" s="173"/>
      <c r="D36" s="197"/>
      <c r="E36" s="256"/>
      <c r="F36" s="257"/>
      <c r="G36" s="258"/>
      <c r="H36" s="305"/>
      <c r="I36" s="248"/>
      <c r="J36" s="248"/>
      <c r="K36" s="248"/>
      <c r="L36" s="329">
        <f>Table1[[#This Row],[Green target threshold]]+Table1[[#This Row],[Green target threshold]]*0.5</f>
        <v>0</v>
      </c>
      <c r="M36" s="248"/>
      <c r="N36" s="248"/>
      <c r="O36" s="248"/>
      <c r="P36" s="329"/>
      <c r="Q36" s="329"/>
      <c r="R36" s="329"/>
      <c r="S36" s="329">
        <f>Table1[[#This Row],[Red target threshold]]-Table1[[#This Row],[Red target threshold]]*0.5</f>
        <v>0</v>
      </c>
      <c r="T36" s="248"/>
      <c r="U36" s="278"/>
    </row>
    <row r="37" spans="1:21" hidden="1" x14ac:dyDescent="0.25">
      <c r="A37" s="271"/>
      <c r="B37" s="173"/>
      <c r="C37" s="173"/>
      <c r="D37" s="197"/>
      <c r="E37" s="256"/>
      <c r="F37" s="257"/>
      <c r="G37" s="258"/>
      <c r="H37" s="305"/>
      <c r="I37" s="248"/>
      <c r="J37" s="248"/>
      <c r="K37" s="248"/>
      <c r="L37" s="329">
        <f>Table1[[#This Row],[Green target threshold]]+Table1[[#This Row],[Green target threshold]]*0.5</f>
        <v>0</v>
      </c>
      <c r="M37" s="248"/>
      <c r="N37" s="248"/>
      <c r="O37" s="248"/>
      <c r="P37" s="329"/>
      <c r="Q37" s="329"/>
      <c r="R37" s="329"/>
      <c r="S37" s="329">
        <f>Table1[[#This Row],[Red target threshold]]-Table1[[#This Row],[Red target threshold]]*0.5</f>
        <v>0</v>
      </c>
      <c r="T37" s="248"/>
      <c r="U37" s="278"/>
    </row>
    <row r="38" spans="1:21" s="262" customFormat="1" hidden="1" x14ac:dyDescent="0.25">
      <c r="A38" s="293"/>
      <c r="B38" s="290"/>
      <c r="C38" s="290"/>
      <c r="D38" s="290"/>
      <c r="E38" s="291">
        <v>2015</v>
      </c>
      <c r="F38" s="291">
        <v>2016</v>
      </c>
      <c r="G38" s="291">
        <v>2017</v>
      </c>
      <c r="H38" s="291"/>
      <c r="I38" s="291"/>
      <c r="J38" s="291"/>
      <c r="K38" s="291"/>
      <c r="L38" s="291">
        <f>Table1[[#This Row],[Green target threshold]]+Table1[[#This Row],[Green target threshold]]*0.5</f>
        <v>0</v>
      </c>
      <c r="M38" s="291"/>
      <c r="N38" s="291"/>
      <c r="O38" s="291"/>
      <c r="P38" s="291"/>
      <c r="Q38" s="291"/>
      <c r="R38" s="291"/>
      <c r="S38" s="291">
        <f>Table1[[#This Row],[Red target threshold]]-Table1[[#This Row],[Red target threshold]]*0.5</f>
        <v>0</v>
      </c>
      <c r="T38" s="291"/>
      <c r="U38" s="297"/>
    </row>
    <row r="39" spans="1:21" x14ac:dyDescent="0.25">
      <c r="A39" s="302" t="s">
        <v>536</v>
      </c>
      <c r="B39" s="337" t="s">
        <v>508</v>
      </c>
      <c r="C39" s="337" t="s">
        <v>1038</v>
      </c>
      <c r="D39" s="336" t="s">
        <v>904</v>
      </c>
      <c r="E39" s="304">
        <v>324246</v>
      </c>
      <c r="F39" s="304">
        <v>328069</v>
      </c>
      <c r="G39" s="304">
        <v>332386</v>
      </c>
      <c r="H39" s="305">
        <v>2017</v>
      </c>
      <c r="I39" s="305">
        <v>332386</v>
      </c>
      <c r="J39" s="305">
        <v>2015</v>
      </c>
      <c r="K39" s="295">
        <v>340079</v>
      </c>
      <c r="L39" s="295">
        <f>Table1[[#This Row],[Green target threshold]]+Table1[[#This Row],[Green target threshold]]*0.5</f>
        <v>765177.75</v>
      </c>
      <c r="M39" s="305">
        <f>Table1[[#This Row],[Model reference value]]+Table1[[#This Row],[Model reference value]]*Table1[[#This Row],[Improvement rate]]</f>
        <v>510118.5</v>
      </c>
      <c r="N39" s="305">
        <v>0.5</v>
      </c>
      <c r="O39" s="305" t="s">
        <v>1140</v>
      </c>
      <c r="P39" s="305">
        <f>(M39-K39)*0.5+K39</f>
        <v>425098.75</v>
      </c>
      <c r="Q39" s="305">
        <f>K39</f>
        <v>340079</v>
      </c>
      <c r="R39" s="305">
        <f>K39</f>
        <v>340079</v>
      </c>
      <c r="S39" s="305">
        <f>Table1[[#This Row],[Red target threshold]]-Table1[[#This Row],[Red target threshold]]*0.5</f>
        <v>170039.5</v>
      </c>
      <c r="T39" s="305" t="s">
        <v>1066</v>
      </c>
      <c r="U39" s="303" t="s">
        <v>852</v>
      </c>
    </row>
    <row r="40" spans="1:21" hidden="1" x14ac:dyDescent="0.25">
      <c r="A40" s="271"/>
      <c r="B40" s="173"/>
      <c r="C40" s="173"/>
      <c r="D40" s="173" t="s">
        <v>777</v>
      </c>
      <c r="E40" s="253">
        <v>88366</v>
      </c>
      <c r="F40" s="254">
        <v>87584</v>
      </c>
      <c r="G40" s="255">
        <v>88051</v>
      </c>
      <c r="H40" s="305">
        <v>2017</v>
      </c>
      <c r="I40" s="248">
        <v>88051</v>
      </c>
      <c r="J40" s="248"/>
      <c r="K40" s="248"/>
      <c r="L40" s="248">
        <f>Table1[[#This Row],[Green target threshold]]+Table1[[#This Row],[Green target threshold]]*0.5</f>
        <v>0</v>
      </c>
      <c r="M40" s="248"/>
      <c r="N40" s="248"/>
      <c r="O40" s="248"/>
      <c r="P40" s="248"/>
      <c r="Q40" s="248"/>
      <c r="R40" s="248"/>
      <c r="S40" s="248">
        <f>Table1[[#This Row],[Red target threshold]]-Table1[[#This Row],[Red target threshold]]*0.5</f>
        <v>0</v>
      </c>
      <c r="T40" s="248"/>
      <c r="U40" s="278"/>
    </row>
    <row r="41" spans="1:21" hidden="1" x14ac:dyDescent="0.25">
      <c r="A41" s="271"/>
      <c r="B41" s="173"/>
      <c r="C41" s="173"/>
      <c r="D41" s="173" t="s">
        <v>847</v>
      </c>
      <c r="E41" s="253">
        <v>43275</v>
      </c>
      <c r="F41" s="254">
        <v>44636</v>
      </c>
      <c r="G41" s="255">
        <v>45791</v>
      </c>
      <c r="H41" s="305">
        <v>2017</v>
      </c>
      <c r="I41" s="248">
        <v>45791</v>
      </c>
      <c r="J41" s="248"/>
      <c r="K41" s="248"/>
      <c r="L41" s="248">
        <f>Table1[[#This Row],[Green target threshold]]+Table1[[#This Row],[Green target threshold]]*0.5</f>
        <v>0</v>
      </c>
      <c r="M41" s="248"/>
      <c r="N41" s="248"/>
      <c r="O41" s="248"/>
      <c r="P41" s="248"/>
      <c r="Q41" s="248"/>
      <c r="R41" s="248"/>
      <c r="S41" s="248">
        <f>Table1[[#This Row],[Red target threshold]]-Table1[[#This Row],[Red target threshold]]*0.5</f>
        <v>0</v>
      </c>
      <c r="T41" s="248"/>
      <c r="U41" s="278"/>
    </row>
    <row r="42" spans="1:21" hidden="1" x14ac:dyDescent="0.25">
      <c r="A42" s="271"/>
      <c r="B42" s="173"/>
      <c r="C42" s="173"/>
      <c r="D42" s="173" t="s">
        <v>778</v>
      </c>
      <c r="E42" s="253">
        <v>26864</v>
      </c>
      <c r="F42" s="254">
        <v>27200</v>
      </c>
      <c r="G42" s="255">
        <v>27946</v>
      </c>
      <c r="H42" s="305">
        <v>2017</v>
      </c>
      <c r="I42" s="248">
        <v>27946</v>
      </c>
      <c r="J42" s="248"/>
      <c r="K42" s="248"/>
      <c r="L42" s="248">
        <f>Table1[[#This Row],[Green target threshold]]+Table1[[#This Row],[Green target threshold]]*0.5</f>
        <v>0</v>
      </c>
      <c r="M42" s="248"/>
      <c r="N42" s="248"/>
      <c r="O42" s="248"/>
      <c r="P42" s="248"/>
      <c r="Q42" s="248"/>
      <c r="R42" s="248"/>
      <c r="S42" s="248">
        <f>Table1[[#This Row],[Red target threshold]]-Table1[[#This Row],[Red target threshold]]*0.5</f>
        <v>0</v>
      </c>
      <c r="T42" s="248"/>
      <c r="U42" s="278"/>
    </row>
    <row r="43" spans="1:21" hidden="1" x14ac:dyDescent="0.25">
      <c r="A43" s="271"/>
      <c r="B43" s="173"/>
      <c r="C43" s="173"/>
      <c r="D43" s="173" t="s">
        <v>841</v>
      </c>
      <c r="E43" s="253">
        <v>9570</v>
      </c>
      <c r="F43" s="254">
        <v>9904</v>
      </c>
      <c r="G43" s="255">
        <v>10389</v>
      </c>
      <c r="H43" s="305">
        <v>2017</v>
      </c>
      <c r="I43" s="248">
        <v>10389</v>
      </c>
      <c r="J43" s="248"/>
      <c r="K43" s="248"/>
      <c r="L43" s="248">
        <f>Table1[[#This Row],[Green target threshold]]+Table1[[#This Row],[Green target threshold]]*0.5</f>
        <v>0</v>
      </c>
      <c r="M43" s="248"/>
      <c r="N43" s="248"/>
      <c r="O43" s="248"/>
      <c r="P43" s="248"/>
      <c r="Q43" s="248"/>
      <c r="R43" s="248"/>
      <c r="S43" s="248">
        <f>Table1[[#This Row],[Red target threshold]]-Table1[[#This Row],[Red target threshold]]*0.5</f>
        <v>0</v>
      </c>
      <c r="T43" s="248"/>
      <c r="U43" s="278"/>
    </row>
    <row r="44" spans="1:21" hidden="1" x14ac:dyDescent="0.25">
      <c r="A44" s="271"/>
      <c r="B44" s="173"/>
      <c r="C44" s="173"/>
      <c r="D44" s="173" t="s">
        <v>720</v>
      </c>
      <c r="E44" s="253">
        <v>8388</v>
      </c>
      <c r="F44" s="254">
        <v>8436</v>
      </c>
      <c r="G44" s="255">
        <v>8298</v>
      </c>
      <c r="H44" s="305">
        <v>2017</v>
      </c>
      <c r="I44" s="248">
        <v>8298</v>
      </c>
      <c r="J44" s="248"/>
      <c r="K44" s="248"/>
      <c r="L44" s="248">
        <f>Table1[[#This Row],[Green target threshold]]+Table1[[#This Row],[Green target threshold]]*0.5</f>
        <v>0</v>
      </c>
      <c r="M44" s="248"/>
      <c r="N44" s="248"/>
      <c r="O44" s="248"/>
      <c r="P44" s="248"/>
      <c r="Q44" s="248"/>
      <c r="R44" s="248"/>
      <c r="S44" s="248">
        <f>Table1[[#This Row],[Red target threshold]]-Table1[[#This Row],[Red target threshold]]*0.5</f>
        <v>0</v>
      </c>
      <c r="T44" s="248"/>
      <c r="U44" s="278"/>
    </row>
    <row r="45" spans="1:21" hidden="1" x14ac:dyDescent="0.25">
      <c r="A45" s="271"/>
      <c r="B45" s="173"/>
      <c r="C45" s="173"/>
      <c r="D45" s="173" t="s">
        <v>848</v>
      </c>
      <c r="E45" s="256">
        <v>4</v>
      </c>
      <c r="F45" s="257">
        <v>4</v>
      </c>
      <c r="G45" s="258">
        <v>4</v>
      </c>
      <c r="H45" s="305">
        <v>2017</v>
      </c>
      <c r="I45" s="248">
        <v>4</v>
      </c>
      <c r="J45" s="248"/>
      <c r="K45" s="248"/>
      <c r="L45" s="248">
        <f>Table1[[#This Row],[Green target threshold]]+Table1[[#This Row],[Green target threshold]]*0.5</f>
        <v>0</v>
      </c>
      <c r="M45" s="248"/>
      <c r="N45" s="248"/>
      <c r="O45" s="248"/>
      <c r="P45" s="248"/>
      <c r="Q45" s="248"/>
      <c r="R45" s="248"/>
      <c r="S45" s="248">
        <f>Table1[[#This Row],[Red target threshold]]-Table1[[#This Row],[Red target threshold]]*0.5</f>
        <v>0</v>
      </c>
      <c r="T45" s="248"/>
      <c r="U45" s="278"/>
    </row>
    <row r="46" spans="1:21" hidden="1" x14ac:dyDescent="0.25">
      <c r="A46" s="271"/>
      <c r="B46" s="173"/>
      <c r="C46" s="173"/>
      <c r="D46" s="173" t="s">
        <v>849</v>
      </c>
      <c r="E46" s="256">
        <v>5</v>
      </c>
      <c r="F46" s="257">
        <v>5</v>
      </c>
      <c r="G46" s="258">
        <v>5</v>
      </c>
      <c r="H46" s="305">
        <v>2017</v>
      </c>
      <c r="I46" s="248">
        <v>5</v>
      </c>
      <c r="J46" s="248"/>
      <c r="K46" s="248"/>
      <c r="L46" s="248">
        <f>Table1[[#This Row],[Green target threshold]]+Table1[[#This Row],[Green target threshold]]*0.5</f>
        <v>0</v>
      </c>
      <c r="M46" s="248"/>
      <c r="N46" s="248"/>
      <c r="O46" s="248"/>
      <c r="P46" s="248"/>
      <c r="Q46" s="248"/>
      <c r="R46" s="248"/>
      <c r="S46" s="248">
        <f>Table1[[#This Row],[Red target threshold]]-Table1[[#This Row],[Red target threshold]]*0.5</f>
        <v>0</v>
      </c>
      <c r="T46" s="248"/>
      <c r="U46" s="278"/>
    </row>
    <row r="47" spans="1:21" hidden="1" x14ac:dyDescent="0.25">
      <c r="A47" s="271"/>
      <c r="B47" s="173"/>
      <c r="C47" s="173"/>
      <c r="D47" s="173" t="s">
        <v>850</v>
      </c>
      <c r="E47" s="256">
        <v>11</v>
      </c>
      <c r="F47" s="257">
        <v>11</v>
      </c>
      <c r="G47" s="258">
        <v>11</v>
      </c>
      <c r="H47" s="305">
        <v>2017</v>
      </c>
      <c r="I47" s="248">
        <v>11</v>
      </c>
      <c r="J47" s="248"/>
      <c r="K47" s="248"/>
      <c r="L47" s="248">
        <f>Table1[[#This Row],[Green target threshold]]+Table1[[#This Row],[Green target threshold]]*0.5</f>
        <v>0</v>
      </c>
      <c r="M47" s="248"/>
      <c r="N47" s="248"/>
      <c r="O47" s="248"/>
      <c r="P47" s="248"/>
      <c r="Q47" s="248"/>
      <c r="R47" s="248"/>
      <c r="S47" s="248">
        <f>Table1[[#This Row],[Red target threshold]]-Table1[[#This Row],[Red target threshold]]*0.5</f>
        <v>0</v>
      </c>
      <c r="T47" s="248"/>
      <c r="U47" s="278"/>
    </row>
    <row r="48" spans="1:21" hidden="1" x14ac:dyDescent="0.25">
      <c r="A48" s="271"/>
      <c r="B48" s="173"/>
      <c r="C48" s="173"/>
      <c r="D48" s="173" t="s">
        <v>851</v>
      </c>
      <c r="E48" s="256">
        <v>12</v>
      </c>
      <c r="F48" s="257">
        <v>11</v>
      </c>
      <c r="G48" s="258">
        <v>12</v>
      </c>
      <c r="H48" s="305">
        <v>2017</v>
      </c>
      <c r="I48" s="248">
        <v>12</v>
      </c>
      <c r="J48" s="248"/>
      <c r="K48" s="248"/>
      <c r="L48" s="248">
        <f>Table1[[#This Row],[Green target threshold]]+Table1[[#This Row],[Green target threshold]]*0.5</f>
        <v>0</v>
      </c>
      <c r="M48" s="248"/>
      <c r="N48" s="248"/>
      <c r="O48" s="248"/>
      <c r="P48" s="248"/>
      <c r="Q48" s="248"/>
      <c r="R48" s="248"/>
      <c r="S48" s="248">
        <f>Table1[[#This Row],[Red target threshold]]-Table1[[#This Row],[Red target threshold]]*0.5</f>
        <v>0</v>
      </c>
      <c r="T48" s="248"/>
      <c r="U48" s="278"/>
    </row>
    <row r="49" spans="1:21" hidden="1" x14ac:dyDescent="0.25">
      <c r="A49" s="271"/>
      <c r="B49" s="173"/>
      <c r="C49" s="173"/>
      <c r="D49" s="173" t="s">
        <v>713</v>
      </c>
      <c r="E49" s="256">
        <v>34</v>
      </c>
      <c r="F49" s="257">
        <v>37</v>
      </c>
      <c r="G49" s="258">
        <v>38</v>
      </c>
      <c r="H49" s="305">
        <v>2017</v>
      </c>
      <c r="I49" s="248">
        <v>38</v>
      </c>
      <c r="J49" s="248"/>
      <c r="K49" s="248"/>
      <c r="L49" s="248">
        <f>Table1[[#This Row],[Green target threshold]]+Table1[[#This Row],[Green target threshold]]*0.5</f>
        <v>0</v>
      </c>
      <c r="M49" s="248"/>
      <c r="N49" s="248"/>
      <c r="O49" s="248"/>
      <c r="P49" s="248"/>
      <c r="Q49" s="248"/>
      <c r="R49" s="248"/>
      <c r="S49" s="248">
        <f>Table1[[#This Row],[Red target threshold]]-Table1[[#This Row],[Red target threshold]]*0.5</f>
        <v>0</v>
      </c>
      <c r="T49" s="248"/>
      <c r="U49" s="278"/>
    </row>
    <row r="50" spans="1:21" s="268" customFormat="1" hidden="1" x14ac:dyDescent="0.25">
      <c r="A50" s="294"/>
      <c r="B50" s="299"/>
      <c r="C50" s="299"/>
      <c r="D50" s="299"/>
      <c r="E50" s="301">
        <v>2005</v>
      </c>
      <c r="F50" s="301">
        <v>2010</v>
      </c>
      <c r="G50" s="301">
        <v>2020</v>
      </c>
      <c r="H50" s="301"/>
      <c r="I50" s="301"/>
      <c r="J50" s="301"/>
      <c r="K50" s="301"/>
      <c r="L50" s="301">
        <f>Table1[[#This Row],[Green target threshold]]+Table1[[#This Row],[Green target threshold]]*0.5</f>
        <v>0</v>
      </c>
      <c r="M50" s="301"/>
      <c r="N50" s="301"/>
      <c r="O50" s="301"/>
      <c r="P50" s="301"/>
      <c r="Q50" s="301"/>
      <c r="R50" s="301"/>
      <c r="S50" s="301">
        <f>Table1[[#This Row],[Red target threshold]]-Table1[[#This Row],[Red target threshold]]*0.5</f>
        <v>0</v>
      </c>
      <c r="T50" s="301"/>
      <c r="U50" s="296"/>
    </row>
    <row r="51" spans="1:21" s="33" customFormat="1" ht="14.25" customHeight="1" x14ac:dyDescent="0.25">
      <c r="A51" s="306" t="s">
        <v>537</v>
      </c>
      <c r="B51" s="336" t="s">
        <v>30</v>
      </c>
      <c r="C51" s="336" t="s">
        <v>971</v>
      </c>
      <c r="D51" s="336" t="s">
        <v>1083</v>
      </c>
      <c r="E51" s="304">
        <v>216.13</v>
      </c>
      <c r="F51" s="304">
        <v>233.11699999999999</v>
      </c>
      <c r="G51" s="304">
        <v>276.59199999999998</v>
      </c>
      <c r="H51" s="305">
        <v>2020</v>
      </c>
      <c r="I51" s="305">
        <v>276.59199999999998</v>
      </c>
      <c r="J51" s="305">
        <v>2015</v>
      </c>
      <c r="K51" s="295">
        <v>275.911</v>
      </c>
      <c r="L51" s="295">
        <f>Table1[[#This Row],[Green target threshold]]+Table1[[#This Row],[Green target threshold]]*0.5</f>
        <v>620.7997499999999</v>
      </c>
      <c r="M51" s="305">
        <f>Table1[[#This Row],[Model reference value]]+Table1[[#This Row],[Model reference value]]*Table1[[#This Row],[Improvement rate]]</f>
        <v>413.86649999999997</v>
      </c>
      <c r="N51" s="305">
        <v>0.5</v>
      </c>
      <c r="O51" s="305" t="s">
        <v>1140</v>
      </c>
      <c r="P51" s="305">
        <f>(M51-K51)*0.5+K51</f>
        <v>344.88874999999996</v>
      </c>
      <c r="Q51" s="305">
        <f>K51</f>
        <v>275.911</v>
      </c>
      <c r="R51" s="305">
        <f>K51</f>
        <v>275.911</v>
      </c>
      <c r="S51" s="305">
        <f>Table1[[#This Row],[Red target threshold]]-Table1[[#This Row],[Red target threshold]]*0.5</f>
        <v>137.9555</v>
      </c>
      <c r="T51" s="305" t="s">
        <v>1120</v>
      </c>
      <c r="U51" s="303" t="s">
        <v>979</v>
      </c>
    </row>
    <row r="52" spans="1:21" s="33" customFormat="1" hidden="1" x14ac:dyDescent="0.25">
      <c r="A52" s="270"/>
      <c r="B52" s="197"/>
      <c r="C52" s="197"/>
      <c r="D52" s="197"/>
      <c r="E52" s="253"/>
      <c r="F52" s="254"/>
      <c r="G52" s="255"/>
      <c r="H52" s="305"/>
      <c r="I52" s="248"/>
      <c r="J52" s="248"/>
      <c r="K52" s="248"/>
      <c r="L52" s="248">
        <f>Table1[[#This Row],[Green target threshold]]+Table1[[#This Row],[Green target threshold]]*0.5</f>
        <v>0</v>
      </c>
      <c r="M52" s="248"/>
      <c r="N52" s="248"/>
      <c r="O52" s="248"/>
      <c r="P52" s="248"/>
      <c r="Q52" s="248"/>
      <c r="R52" s="248"/>
      <c r="S52" s="248">
        <f>Table1[[#This Row],[Red target threshold]]-Table1[[#This Row],[Red target threshold]]*0.5</f>
        <v>0</v>
      </c>
      <c r="T52" s="248"/>
      <c r="U52" s="281"/>
    </row>
    <row r="53" spans="1:21" s="33" customFormat="1" hidden="1" x14ac:dyDescent="0.25">
      <c r="A53" s="270"/>
      <c r="B53" s="197"/>
      <c r="C53" s="197"/>
      <c r="D53" s="197"/>
      <c r="E53" s="253"/>
      <c r="F53" s="254"/>
      <c r="G53" s="255"/>
      <c r="H53" s="305"/>
      <c r="I53" s="248"/>
      <c r="J53" s="248"/>
      <c r="K53" s="248"/>
      <c r="L53" s="248">
        <f>Table1[[#This Row],[Green target threshold]]+Table1[[#This Row],[Green target threshold]]*0.5</f>
        <v>0</v>
      </c>
      <c r="M53" s="248"/>
      <c r="N53" s="248"/>
      <c r="O53" s="248"/>
      <c r="P53" s="248"/>
      <c r="Q53" s="248"/>
      <c r="R53" s="248"/>
      <c r="S53" s="248">
        <f>Table1[[#This Row],[Red target threshold]]-Table1[[#This Row],[Red target threshold]]*0.5</f>
        <v>0</v>
      </c>
      <c r="T53" s="248"/>
      <c r="U53" s="281"/>
    </row>
    <row r="54" spans="1:21" s="33" customFormat="1" hidden="1" x14ac:dyDescent="0.25">
      <c r="A54" s="270"/>
      <c r="B54" s="197"/>
      <c r="C54" s="197"/>
      <c r="D54" s="197"/>
      <c r="E54" s="253"/>
      <c r="F54" s="254"/>
      <c r="G54" s="255"/>
      <c r="H54" s="305"/>
      <c r="I54" s="248"/>
      <c r="J54" s="248"/>
      <c r="K54" s="248"/>
      <c r="L54" s="248">
        <f>Table1[[#This Row],[Green target threshold]]+Table1[[#This Row],[Green target threshold]]*0.5</f>
        <v>0</v>
      </c>
      <c r="M54" s="248"/>
      <c r="N54" s="248"/>
      <c r="O54" s="248"/>
      <c r="P54" s="248"/>
      <c r="Q54" s="248"/>
      <c r="R54" s="248"/>
      <c r="S54" s="248">
        <f>Table1[[#This Row],[Red target threshold]]-Table1[[#This Row],[Red target threshold]]*0.5</f>
        <v>0</v>
      </c>
      <c r="T54" s="248"/>
      <c r="U54" s="281"/>
    </row>
    <row r="55" spans="1:21" s="33" customFormat="1" hidden="1" x14ac:dyDescent="0.25">
      <c r="A55" s="270"/>
      <c r="B55" s="197"/>
      <c r="C55" s="197"/>
      <c r="D55" s="197"/>
      <c r="E55" s="253"/>
      <c r="F55" s="254"/>
      <c r="G55" s="255"/>
      <c r="H55" s="305"/>
      <c r="I55" s="248"/>
      <c r="J55" s="248"/>
      <c r="K55" s="248"/>
      <c r="L55" s="329">
        <f>Table1[[#This Row],[Green target threshold]]+Table1[[#This Row],[Green target threshold]]*0.5</f>
        <v>0</v>
      </c>
      <c r="M55" s="248"/>
      <c r="N55" s="248"/>
      <c r="O55" s="248"/>
      <c r="P55" s="329"/>
      <c r="Q55" s="329"/>
      <c r="R55" s="329"/>
      <c r="S55" s="329">
        <f>Table1[[#This Row],[Red target threshold]]-Table1[[#This Row],[Red target threshold]]*0.5</f>
        <v>0</v>
      </c>
      <c r="T55" s="248"/>
      <c r="U55" s="281"/>
    </row>
    <row r="56" spans="1:21" s="33" customFormat="1" hidden="1" x14ac:dyDescent="0.25">
      <c r="A56" s="270"/>
      <c r="B56" s="197"/>
      <c r="C56" s="197"/>
      <c r="D56" s="197"/>
      <c r="E56" s="253"/>
      <c r="F56" s="254"/>
      <c r="G56" s="255"/>
      <c r="H56" s="305"/>
      <c r="I56" s="248"/>
      <c r="J56" s="248"/>
      <c r="K56" s="248"/>
      <c r="L56" s="329">
        <f>Table1[[#This Row],[Green target threshold]]+Table1[[#This Row],[Green target threshold]]*0.5</f>
        <v>0</v>
      </c>
      <c r="M56" s="248"/>
      <c r="N56" s="248"/>
      <c r="O56" s="248"/>
      <c r="P56" s="329"/>
      <c r="Q56" s="329"/>
      <c r="R56" s="329"/>
      <c r="S56" s="329">
        <f>Table1[[#This Row],[Red target threshold]]-Table1[[#This Row],[Red target threshold]]*0.5</f>
        <v>0</v>
      </c>
      <c r="T56" s="248"/>
      <c r="U56" s="281"/>
    </row>
    <row r="57" spans="1:21" s="33" customFormat="1" hidden="1" x14ac:dyDescent="0.25">
      <c r="A57" s="270"/>
      <c r="B57" s="197"/>
      <c r="C57" s="197"/>
      <c r="D57" s="197"/>
      <c r="E57" s="256"/>
      <c r="F57" s="257"/>
      <c r="G57" s="258"/>
      <c r="H57" s="305"/>
      <c r="I57" s="248"/>
      <c r="J57" s="248"/>
      <c r="K57" s="248"/>
      <c r="L57" s="248">
        <f>Table1[[#This Row],[Green target threshold]]+Table1[[#This Row],[Green target threshold]]*0.5</f>
        <v>0</v>
      </c>
      <c r="M57" s="248"/>
      <c r="N57" s="248"/>
      <c r="O57" s="248"/>
      <c r="P57" s="248"/>
      <c r="Q57" s="248"/>
      <c r="R57" s="248"/>
      <c r="S57" s="248">
        <f>Table1[[#This Row],[Red target threshold]]-Table1[[#This Row],[Red target threshold]]*0.5</f>
        <v>0</v>
      </c>
      <c r="T57" s="248"/>
      <c r="U57" s="281"/>
    </row>
    <row r="58" spans="1:21" s="33" customFormat="1" hidden="1" x14ac:dyDescent="0.25">
      <c r="A58" s="270"/>
      <c r="B58" s="197"/>
      <c r="C58" s="197"/>
      <c r="D58" s="197"/>
      <c r="E58" s="256"/>
      <c r="F58" s="257"/>
      <c r="G58" s="258"/>
      <c r="H58" s="305"/>
      <c r="I58" s="248"/>
      <c r="J58" s="248"/>
      <c r="K58" s="248"/>
      <c r="L58" s="248">
        <f>Table1[[#This Row],[Green target threshold]]+Table1[[#This Row],[Green target threshold]]*0.5</f>
        <v>0</v>
      </c>
      <c r="M58" s="248"/>
      <c r="N58" s="248"/>
      <c r="O58" s="248"/>
      <c r="P58" s="248"/>
      <c r="Q58" s="248"/>
      <c r="R58" s="248"/>
      <c r="S58" s="248">
        <f>Table1[[#This Row],[Red target threshold]]-Table1[[#This Row],[Red target threshold]]*0.5</f>
        <v>0</v>
      </c>
      <c r="T58" s="248"/>
      <c r="U58" s="281"/>
    </row>
    <row r="59" spans="1:21" s="33" customFormat="1" hidden="1" x14ac:dyDescent="0.25">
      <c r="A59" s="270"/>
      <c r="B59" s="197"/>
      <c r="C59" s="197"/>
      <c r="D59" s="197"/>
      <c r="E59" s="256"/>
      <c r="F59" s="257"/>
      <c r="G59" s="258"/>
      <c r="H59" s="305"/>
      <c r="I59" s="248"/>
      <c r="J59" s="248"/>
      <c r="K59" s="248"/>
      <c r="L59" s="329">
        <f>Table1[[#This Row],[Green target threshold]]+Table1[[#This Row],[Green target threshold]]*0.5</f>
        <v>0</v>
      </c>
      <c r="M59" s="248"/>
      <c r="N59" s="248"/>
      <c r="O59" s="248"/>
      <c r="P59" s="329"/>
      <c r="Q59" s="329"/>
      <c r="R59" s="329"/>
      <c r="S59" s="329">
        <f>Table1[[#This Row],[Red target threshold]]-Table1[[#This Row],[Red target threshold]]*0.5</f>
        <v>0</v>
      </c>
      <c r="T59" s="248"/>
      <c r="U59" s="281"/>
    </row>
    <row r="60" spans="1:21" s="33" customFormat="1" hidden="1" x14ac:dyDescent="0.25">
      <c r="A60" s="270"/>
      <c r="B60" s="197"/>
      <c r="C60" s="197"/>
      <c r="D60" s="197"/>
      <c r="E60" s="256"/>
      <c r="F60" s="257"/>
      <c r="G60" s="258"/>
      <c r="H60" s="305"/>
      <c r="I60" s="248"/>
      <c r="J60" s="248"/>
      <c r="K60" s="248"/>
      <c r="L60" s="329">
        <f>Table1[[#This Row],[Green target threshold]]+Table1[[#This Row],[Green target threshold]]*0.5</f>
        <v>0</v>
      </c>
      <c r="M60" s="248"/>
      <c r="N60" s="248"/>
      <c r="O60" s="248"/>
      <c r="P60" s="329"/>
      <c r="Q60" s="329"/>
      <c r="R60" s="329"/>
      <c r="S60" s="329">
        <f>Table1[[#This Row],[Red target threshold]]-Table1[[#This Row],[Red target threshold]]*0.5</f>
        <v>0</v>
      </c>
      <c r="T60" s="248"/>
      <c r="U60" s="281"/>
    </row>
    <row r="61" spans="1:21" s="33" customFormat="1" hidden="1" x14ac:dyDescent="0.25">
      <c r="A61" s="270"/>
      <c r="B61" s="197"/>
      <c r="C61" s="197"/>
      <c r="D61" s="197"/>
      <c r="E61" s="256"/>
      <c r="F61" s="257"/>
      <c r="G61" s="258"/>
      <c r="H61" s="305"/>
      <c r="I61" s="248"/>
      <c r="J61" s="248"/>
      <c r="K61" s="248"/>
      <c r="L61" s="329">
        <f>Table1[[#This Row],[Green target threshold]]+Table1[[#This Row],[Green target threshold]]*0.5</f>
        <v>0</v>
      </c>
      <c r="M61" s="248"/>
      <c r="N61" s="248"/>
      <c r="O61" s="248"/>
      <c r="P61" s="329"/>
      <c r="Q61" s="329"/>
      <c r="R61" s="329"/>
      <c r="S61" s="329">
        <f>Table1[[#This Row],[Red target threshold]]-Table1[[#This Row],[Red target threshold]]*0.5</f>
        <v>0</v>
      </c>
      <c r="T61" s="248"/>
      <c r="U61" s="281"/>
    </row>
    <row r="62" spans="1:21" s="262" customFormat="1" hidden="1" x14ac:dyDescent="0.25">
      <c r="A62" s="293"/>
      <c r="B62" s="290"/>
      <c r="C62" s="290"/>
      <c r="D62" s="290"/>
      <c r="E62" s="291">
        <v>2015</v>
      </c>
      <c r="F62" s="291">
        <v>2016</v>
      </c>
      <c r="G62" s="291">
        <v>2017</v>
      </c>
      <c r="H62" s="291"/>
      <c r="I62" s="291"/>
      <c r="J62" s="291"/>
      <c r="K62" s="291"/>
      <c r="L62" s="291">
        <f>Table1[[#This Row],[Green target threshold]]+Table1[[#This Row],[Green target threshold]]*0.5</f>
        <v>0</v>
      </c>
      <c r="M62" s="291"/>
      <c r="N62" s="291"/>
      <c r="O62" s="291"/>
      <c r="P62" s="291"/>
      <c r="Q62" s="291"/>
      <c r="R62" s="291"/>
      <c r="S62" s="291">
        <f>Table1[[#This Row],[Red target threshold]]-Table1[[#This Row],[Red target threshold]]*0.5</f>
        <v>0</v>
      </c>
      <c r="T62" s="291"/>
      <c r="U62" s="297"/>
    </row>
    <row r="63" spans="1:21" x14ac:dyDescent="0.25">
      <c r="A63" s="302" t="s">
        <v>942</v>
      </c>
      <c r="B63" s="337" t="s">
        <v>1067</v>
      </c>
      <c r="C63" s="337" t="s">
        <v>191</v>
      </c>
      <c r="D63" s="336" t="s">
        <v>904</v>
      </c>
      <c r="E63" s="304">
        <v>0.36919999999999997</v>
      </c>
      <c r="F63" s="304">
        <v>0.36880000000000002</v>
      </c>
      <c r="G63" s="304">
        <v>0.37130000000000002</v>
      </c>
      <c r="H63" s="305">
        <v>2017</v>
      </c>
      <c r="I63" s="305">
        <v>0.37130000000000002</v>
      </c>
      <c r="J63" s="305">
        <v>2015</v>
      </c>
      <c r="K63" s="295">
        <v>0.37740699999999999</v>
      </c>
      <c r="L63" s="295">
        <f>Table1[[#This Row],[Green target threshold]]-Table1[[#This Row],[Green target threshold]]*0.5</f>
        <v>0.15096280000000001</v>
      </c>
      <c r="M63" s="305">
        <f>Table1[[#This Row],[Model reference value]]+Table1[[#This Row],[Model reference value]]*Table1[[#This Row],[Improvement rate]]</f>
        <v>0.30192560000000002</v>
      </c>
      <c r="N63" s="305">
        <v>-0.2</v>
      </c>
      <c r="O63" s="305" t="s">
        <v>1140</v>
      </c>
      <c r="P63" s="305">
        <f>(M63-K63)*0.5+K63</f>
        <v>0.33966629999999998</v>
      </c>
      <c r="Q63" s="305">
        <f>K63</f>
        <v>0.37740699999999999</v>
      </c>
      <c r="R63" s="305">
        <f>K63</f>
        <v>0.37740699999999999</v>
      </c>
      <c r="S63" s="305">
        <f>Table1[[#This Row],[Red target threshold]]+Table1[[#This Row],[Red target threshold]]*0.5</f>
        <v>0.56611049999999996</v>
      </c>
      <c r="T63" s="305"/>
      <c r="U63" s="303" t="s">
        <v>869</v>
      </c>
    </row>
    <row r="64" spans="1:21" hidden="1" x14ac:dyDescent="0.25">
      <c r="A64" s="271"/>
      <c r="B64" s="173"/>
      <c r="C64" s="173"/>
      <c r="D64" s="331" t="s">
        <v>1070</v>
      </c>
      <c r="E64" s="253"/>
      <c r="F64" s="254"/>
      <c r="G64" s="255">
        <v>93.66</v>
      </c>
      <c r="H64" s="305">
        <v>2017</v>
      </c>
      <c r="I64" s="248">
        <v>0.97450000000000003</v>
      </c>
      <c r="J64" s="248"/>
      <c r="K64" s="248"/>
      <c r="L64" s="248">
        <f>Table1[[#This Row],[Green target threshold]]+Table1[[#This Row],[Green target threshold]]*0.5</f>
        <v>0</v>
      </c>
      <c r="M64" s="248"/>
      <c r="N64" s="248"/>
      <c r="O64" s="248"/>
      <c r="P64" s="248"/>
      <c r="Q64" s="248"/>
      <c r="R64" s="248"/>
      <c r="S64" s="248">
        <f>Table1[[#This Row],[Red target threshold]]-Table1[[#This Row],[Red target threshold]]*0.5</f>
        <v>0</v>
      </c>
      <c r="T64" s="248"/>
      <c r="U64" s="278"/>
    </row>
    <row r="65" spans="1:21" hidden="1" x14ac:dyDescent="0.25">
      <c r="A65" s="271"/>
      <c r="B65" s="173"/>
      <c r="C65" s="173"/>
      <c r="D65" s="331" t="s">
        <v>1071</v>
      </c>
      <c r="E65" s="253"/>
      <c r="F65" s="254"/>
      <c r="G65" s="255">
        <v>82.67</v>
      </c>
      <c r="H65" s="305">
        <v>2017</v>
      </c>
      <c r="I65" s="248">
        <v>0.94299999999999995</v>
      </c>
      <c r="J65" s="248"/>
      <c r="K65" s="248"/>
      <c r="L65" s="248">
        <f>Table1[[#This Row],[Green target threshold]]+Table1[[#This Row],[Green target threshold]]*0.5</f>
        <v>0</v>
      </c>
      <c r="M65" s="248"/>
      <c r="N65" s="248"/>
      <c r="O65" s="248"/>
      <c r="P65" s="248"/>
      <c r="Q65" s="248"/>
      <c r="R65" s="248"/>
      <c r="S65" s="248">
        <f>Table1[[#This Row],[Red target threshold]]-Table1[[#This Row],[Red target threshold]]*0.5</f>
        <v>0</v>
      </c>
      <c r="T65" s="248"/>
      <c r="U65" s="278"/>
    </row>
    <row r="66" spans="1:21" hidden="1" x14ac:dyDescent="0.25">
      <c r="A66" s="271"/>
      <c r="B66" s="173"/>
      <c r="C66" s="173"/>
      <c r="D66" s="331" t="s">
        <v>1072</v>
      </c>
      <c r="E66" s="253"/>
      <c r="F66" s="254"/>
      <c r="G66" s="255">
        <v>80.760000000000005</v>
      </c>
      <c r="H66" s="305">
        <v>2017</v>
      </c>
      <c r="I66" s="248">
        <v>0.94089999999999996</v>
      </c>
      <c r="J66" s="248"/>
      <c r="K66" s="248"/>
      <c r="L66" s="248">
        <f>Table1[[#This Row],[Green target threshold]]+Table1[[#This Row],[Green target threshold]]*0.5</f>
        <v>0</v>
      </c>
      <c r="M66" s="248"/>
      <c r="N66" s="248"/>
      <c r="O66" s="248"/>
      <c r="P66" s="248"/>
      <c r="Q66" s="248"/>
      <c r="R66" s="248"/>
      <c r="S66" s="248">
        <f>Table1[[#This Row],[Red target threshold]]-Table1[[#This Row],[Red target threshold]]*0.5</f>
        <v>0</v>
      </c>
      <c r="T66" s="248"/>
      <c r="U66" s="278"/>
    </row>
    <row r="67" spans="1:21" hidden="1" x14ac:dyDescent="0.25">
      <c r="A67" s="271"/>
      <c r="B67" s="173"/>
      <c r="C67" s="173"/>
      <c r="D67" s="331" t="s">
        <v>677</v>
      </c>
      <c r="E67" s="253"/>
      <c r="F67" s="254"/>
      <c r="G67" s="255">
        <v>80.38</v>
      </c>
      <c r="H67" s="305">
        <v>2017</v>
      </c>
      <c r="I67" s="248">
        <v>0.94089999999999996</v>
      </c>
      <c r="J67" s="248"/>
      <c r="K67" s="248"/>
      <c r="L67" s="248">
        <f>Table1[[#This Row],[Green target threshold]]+Table1[[#This Row],[Green target threshold]]*0.5</f>
        <v>0</v>
      </c>
      <c r="M67" s="248"/>
      <c r="N67" s="248"/>
      <c r="O67" s="248"/>
      <c r="P67" s="248"/>
      <c r="Q67" s="248"/>
      <c r="R67" s="248"/>
      <c r="S67" s="248">
        <f>Table1[[#This Row],[Red target threshold]]-Table1[[#This Row],[Red target threshold]]*0.5</f>
        <v>0</v>
      </c>
      <c r="T67" s="248"/>
      <c r="U67" s="278"/>
    </row>
    <row r="68" spans="1:21" hidden="1" x14ac:dyDescent="0.25">
      <c r="A68" s="271"/>
      <c r="B68" s="173"/>
      <c r="C68" s="173"/>
      <c r="D68" s="331" t="s">
        <v>1073</v>
      </c>
      <c r="E68" s="253"/>
      <c r="F68" s="254"/>
      <c r="G68" s="255">
        <v>79.64</v>
      </c>
      <c r="H68" s="305">
        <v>2017</v>
      </c>
      <c r="I68" s="248">
        <v>0.93940000000000001</v>
      </c>
      <c r="J68" s="248"/>
      <c r="K68" s="248"/>
      <c r="L68" s="248">
        <f>Table1[[#This Row],[Green target threshold]]+Table1[[#This Row],[Green target threshold]]*0.5</f>
        <v>0</v>
      </c>
      <c r="M68" s="248"/>
      <c r="N68" s="248"/>
      <c r="O68" s="248"/>
      <c r="P68" s="248"/>
      <c r="Q68" s="248"/>
      <c r="R68" s="248"/>
      <c r="S68" s="248">
        <f>Table1[[#This Row],[Red target threshold]]-Table1[[#This Row],[Red target threshold]]*0.5</f>
        <v>0</v>
      </c>
      <c r="T68" s="248"/>
      <c r="U68" s="278"/>
    </row>
    <row r="69" spans="1:21" hidden="1" x14ac:dyDescent="0.25">
      <c r="A69" s="271"/>
      <c r="B69" s="173"/>
      <c r="C69" s="173"/>
      <c r="D69" s="331" t="s">
        <v>1074</v>
      </c>
      <c r="E69" s="256"/>
      <c r="F69" s="257"/>
      <c r="G69" s="258">
        <v>0.39</v>
      </c>
      <c r="H69" s="305">
        <v>2017</v>
      </c>
      <c r="I69" s="248">
        <v>0.11</v>
      </c>
      <c r="J69" s="248"/>
      <c r="K69" s="248"/>
      <c r="L69" s="248">
        <f>Table1[[#This Row],[Green target threshold]]+Table1[[#This Row],[Green target threshold]]*0.5</f>
        <v>0</v>
      </c>
      <c r="M69" s="248"/>
      <c r="N69" s="248"/>
      <c r="O69" s="248"/>
      <c r="P69" s="248"/>
      <c r="Q69" s="248"/>
      <c r="R69" s="248"/>
      <c r="S69" s="248">
        <f>Table1[[#This Row],[Red target threshold]]-Table1[[#This Row],[Red target threshold]]*0.5</f>
        <v>0</v>
      </c>
      <c r="T69" s="248"/>
      <c r="U69" s="278"/>
    </row>
    <row r="70" spans="1:21" hidden="1" x14ac:dyDescent="0.25">
      <c r="A70" s="271"/>
      <c r="B70" s="173"/>
      <c r="C70" s="173"/>
      <c r="D70" s="331" t="s">
        <v>1075</v>
      </c>
      <c r="E70" s="256"/>
      <c r="F70" s="257"/>
      <c r="G70" s="258">
        <v>0.56000000000000005</v>
      </c>
      <c r="H70" s="305">
        <v>2017</v>
      </c>
      <c r="I70" s="248">
        <v>0.13300000000000001</v>
      </c>
      <c r="J70" s="248"/>
      <c r="K70" s="248"/>
      <c r="L70" s="248">
        <f>Table1[[#This Row],[Green target threshold]]+Table1[[#This Row],[Green target threshold]]*0.5</f>
        <v>0</v>
      </c>
      <c r="M70" s="248"/>
      <c r="N70" s="248"/>
      <c r="O70" s="248"/>
      <c r="P70" s="248"/>
      <c r="Q70" s="248"/>
      <c r="R70" s="248"/>
      <c r="S70" s="248">
        <f>Table1[[#This Row],[Red target threshold]]-Table1[[#This Row],[Red target threshold]]*0.5</f>
        <v>0</v>
      </c>
      <c r="T70" s="248"/>
      <c r="U70" s="278"/>
    </row>
    <row r="71" spans="1:21" hidden="1" x14ac:dyDescent="0.25">
      <c r="A71" s="271"/>
      <c r="B71" s="173"/>
      <c r="C71" s="173"/>
      <c r="D71" s="331" t="s">
        <v>1076</v>
      </c>
      <c r="E71" s="256"/>
      <c r="F71" s="257"/>
      <c r="G71" s="258">
        <v>0.59</v>
      </c>
      <c r="H71" s="305">
        <v>2017</v>
      </c>
      <c r="I71" s="248">
        <v>0.23200000000000001</v>
      </c>
      <c r="J71" s="248"/>
      <c r="K71" s="248"/>
      <c r="L71" s="248">
        <f>Table1[[#This Row],[Green target threshold]]+Table1[[#This Row],[Green target threshold]]*0.5</f>
        <v>0</v>
      </c>
      <c r="M71" s="248"/>
      <c r="N71" s="248"/>
      <c r="O71" s="248"/>
      <c r="P71" s="248"/>
      <c r="Q71" s="248"/>
      <c r="R71" s="248"/>
      <c r="S71" s="248">
        <f>Table1[[#This Row],[Red target threshold]]-Table1[[#This Row],[Red target threshold]]*0.5</f>
        <v>0</v>
      </c>
      <c r="T71" s="248"/>
      <c r="U71" s="278"/>
    </row>
    <row r="72" spans="1:21" hidden="1" x14ac:dyDescent="0.25">
      <c r="A72" s="271"/>
      <c r="B72" s="173"/>
      <c r="C72" s="173"/>
      <c r="D72" s="331" t="s">
        <v>702</v>
      </c>
      <c r="E72" s="256"/>
      <c r="F72" s="257"/>
      <c r="G72" s="258">
        <v>0.93</v>
      </c>
      <c r="H72" s="305">
        <v>2017</v>
      </c>
      <c r="I72" s="248">
        <v>0.33200000000000002</v>
      </c>
      <c r="J72" s="248"/>
      <c r="K72" s="248"/>
      <c r="L72" s="248">
        <f>Table1[[#This Row],[Green target threshold]]+Table1[[#This Row],[Green target threshold]]*0.5</f>
        <v>0</v>
      </c>
      <c r="M72" s="248"/>
      <c r="N72" s="248"/>
      <c r="O72" s="248"/>
      <c r="P72" s="248"/>
      <c r="Q72" s="248"/>
      <c r="R72" s="248"/>
      <c r="S72" s="248">
        <f>Table1[[#This Row],[Red target threshold]]-Table1[[#This Row],[Red target threshold]]*0.5</f>
        <v>0</v>
      </c>
      <c r="T72" s="248"/>
      <c r="U72" s="278"/>
    </row>
    <row r="73" spans="1:21" hidden="1" x14ac:dyDescent="0.25">
      <c r="A73" s="271"/>
      <c r="B73" s="173"/>
      <c r="C73" s="173"/>
      <c r="D73" s="331" t="s">
        <v>1077</v>
      </c>
      <c r="E73" s="256"/>
      <c r="F73" s="257"/>
      <c r="G73" s="258">
        <v>1.05</v>
      </c>
      <c r="H73" s="305">
        <v>2017</v>
      </c>
      <c r="I73" s="248">
        <v>0.33400000000000002</v>
      </c>
      <c r="J73" s="248"/>
      <c r="K73" s="248"/>
      <c r="L73" s="248">
        <f>Table1[[#This Row],[Green target threshold]]+Table1[[#This Row],[Green target threshold]]*0.5</f>
        <v>0</v>
      </c>
      <c r="M73" s="248"/>
      <c r="N73" s="248"/>
      <c r="O73" s="248"/>
      <c r="P73" s="248"/>
      <c r="Q73" s="248"/>
      <c r="R73" s="248"/>
      <c r="S73" s="248">
        <f>Table1[[#This Row],[Red target threshold]]-Table1[[#This Row],[Red target threshold]]*0.5</f>
        <v>0</v>
      </c>
      <c r="T73" s="248"/>
      <c r="U73" s="278"/>
    </row>
    <row r="74" spans="1:21" s="268" customFormat="1" hidden="1" x14ac:dyDescent="0.25">
      <c r="A74" s="294"/>
      <c r="B74" s="299"/>
      <c r="C74" s="299"/>
      <c r="D74" s="299"/>
      <c r="E74" s="301">
        <v>2005</v>
      </c>
      <c r="F74" s="301">
        <v>2010</v>
      </c>
      <c r="G74" s="301">
        <v>2020</v>
      </c>
      <c r="H74" s="301"/>
      <c r="I74" s="301"/>
      <c r="J74" s="301"/>
      <c r="K74" s="301"/>
      <c r="L74" s="301">
        <f>Table1[[#This Row],[Green target threshold]]+Table1[[#This Row],[Green target threshold]]*0.5</f>
        <v>0</v>
      </c>
      <c r="M74" s="301"/>
      <c r="N74" s="301"/>
      <c r="O74" s="301"/>
      <c r="P74" s="301"/>
      <c r="Q74" s="301"/>
      <c r="R74" s="301"/>
      <c r="S74" s="301">
        <f>Table1[[#This Row],[Red target threshold]]-Table1[[#This Row],[Red target threshold]]*0.5</f>
        <v>0</v>
      </c>
      <c r="T74" s="301"/>
      <c r="U74" s="296"/>
    </row>
    <row r="75" spans="1:21" s="33" customFormat="1" x14ac:dyDescent="0.25">
      <c r="A75" s="306" t="s">
        <v>967</v>
      </c>
      <c r="B75" s="336" t="s">
        <v>29</v>
      </c>
      <c r="C75" s="336" t="s">
        <v>965</v>
      </c>
      <c r="D75" s="336" t="s">
        <v>1083</v>
      </c>
      <c r="E75" s="304">
        <v>3425.59</v>
      </c>
      <c r="F75" s="304">
        <v>3417.4110000000001</v>
      </c>
      <c r="G75" s="304">
        <v>3419.1779999999999</v>
      </c>
      <c r="H75" s="305">
        <v>2020</v>
      </c>
      <c r="I75" s="305">
        <v>3419.1779999999999</v>
      </c>
      <c r="J75" s="305">
        <v>2015</v>
      </c>
      <c r="K75" s="295">
        <v>3355.47</v>
      </c>
      <c r="L75" s="295">
        <f>Table1[[#This Row],[Green target threshold]]+Table1[[#This Row],[Green target threshold]]*0.5</f>
        <v>4529.8845000000001</v>
      </c>
      <c r="M75" s="305">
        <f>Table1[[#This Row],[Model reference value]]+Table1[[#This Row],[Model reference value]]*Table1[[#This Row],[Improvement rate]]</f>
        <v>3019.9229999999998</v>
      </c>
      <c r="N75" s="305">
        <v>-0.1</v>
      </c>
      <c r="O75" s="305" t="s">
        <v>1140</v>
      </c>
      <c r="P75" s="305">
        <f>(M75-K75)*0.5+K75</f>
        <v>3187.6965</v>
      </c>
      <c r="Q75" s="305">
        <f>K75</f>
        <v>3355.47</v>
      </c>
      <c r="R75" s="305">
        <f>K75</f>
        <v>3355.47</v>
      </c>
      <c r="S75" s="305">
        <f>Table1[[#This Row],[Red target threshold]]-Table1[[#This Row],[Red target threshold]]*0.5</f>
        <v>1677.7349999999999</v>
      </c>
      <c r="T75" s="305" t="s">
        <v>1120</v>
      </c>
      <c r="U75" s="303" t="s">
        <v>979</v>
      </c>
    </row>
    <row r="76" spans="1:21" s="33" customFormat="1" hidden="1" x14ac:dyDescent="0.25">
      <c r="A76" s="270"/>
      <c r="B76" s="197"/>
      <c r="C76" s="197"/>
      <c r="D76" s="197"/>
      <c r="E76" s="253"/>
      <c r="F76" s="254"/>
      <c r="G76" s="255"/>
      <c r="H76" s="305"/>
      <c r="I76" s="248"/>
      <c r="J76" s="248"/>
      <c r="K76" s="248"/>
      <c r="L76" s="248">
        <f>Table1[[#This Row],[Green target threshold]]+Table1[[#This Row],[Green target threshold]]*0.5</f>
        <v>0</v>
      </c>
      <c r="M76" s="248"/>
      <c r="N76" s="248"/>
      <c r="O76" s="248"/>
      <c r="P76" s="248"/>
      <c r="Q76" s="248"/>
      <c r="R76" s="248"/>
      <c r="S76" s="248">
        <f>Table1[[#This Row],[Red target threshold]]-Table1[[#This Row],[Red target threshold]]*0.5</f>
        <v>0</v>
      </c>
      <c r="T76" s="248"/>
      <c r="U76" s="281"/>
    </row>
    <row r="77" spans="1:21" s="33" customFormat="1" hidden="1" x14ac:dyDescent="0.25">
      <c r="A77" s="270"/>
      <c r="B77" s="197"/>
      <c r="C77" s="197"/>
      <c r="D77" s="197"/>
      <c r="E77" s="253"/>
      <c r="F77" s="254"/>
      <c r="G77" s="255"/>
      <c r="H77" s="305"/>
      <c r="I77" s="248"/>
      <c r="J77" s="248"/>
      <c r="K77" s="248"/>
      <c r="L77" s="248">
        <f>Table1[[#This Row],[Green target threshold]]+Table1[[#This Row],[Green target threshold]]*0.5</f>
        <v>0</v>
      </c>
      <c r="M77" s="248"/>
      <c r="N77" s="248"/>
      <c r="O77" s="248"/>
      <c r="P77" s="248"/>
      <c r="Q77" s="248"/>
      <c r="R77" s="248"/>
      <c r="S77" s="248">
        <f>Table1[[#This Row],[Red target threshold]]-Table1[[#This Row],[Red target threshold]]*0.5</f>
        <v>0</v>
      </c>
      <c r="T77" s="248"/>
      <c r="U77" s="281"/>
    </row>
    <row r="78" spans="1:21" s="33" customFormat="1" hidden="1" x14ac:dyDescent="0.25">
      <c r="A78" s="270"/>
      <c r="B78" s="197"/>
      <c r="C78" s="197"/>
      <c r="D78" s="197"/>
      <c r="E78" s="253"/>
      <c r="F78" s="254"/>
      <c r="G78" s="255"/>
      <c r="H78" s="305"/>
      <c r="I78" s="248"/>
      <c r="J78" s="248"/>
      <c r="K78" s="248"/>
      <c r="L78" s="248">
        <f>Table1[[#This Row],[Green target threshold]]+Table1[[#This Row],[Green target threshold]]*0.5</f>
        <v>0</v>
      </c>
      <c r="M78" s="248"/>
      <c r="N78" s="248"/>
      <c r="O78" s="248"/>
      <c r="P78" s="248"/>
      <c r="Q78" s="248"/>
      <c r="R78" s="248"/>
      <c r="S78" s="248">
        <f>Table1[[#This Row],[Red target threshold]]-Table1[[#This Row],[Red target threshold]]*0.5</f>
        <v>0</v>
      </c>
      <c r="T78" s="248"/>
      <c r="U78" s="281"/>
    </row>
    <row r="79" spans="1:21" s="33" customFormat="1" hidden="1" x14ac:dyDescent="0.25">
      <c r="A79" s="270"/>
      <c r="B79" s="197"/>
      <c r="C79" s="197"/>
      <c r="D79" s="197"/>
      <c r="E79" s="253"/>
      <c r="F79" s="254"/>
      <c r="G79" s="255"/>
      <c r="H79" s="305"/>
      <c r="I79" s="248"/>
      <c r="J79" s="248"/>
      <c r="K79" s="248"/>
      <c r="L79" s="329">
        <f>Table1[[#This Row],[Green target threshold]]+Table1[[#This Row],[Green target threshold]]*0.5</f>
        <v>0</v>
      </c>
      <c r="M79" s="248"/>
      <c r="N79" s="248"/>
      <c r="O79" s="248"/>
      <c r="P79" s="329"/>
      <c r="Q79" s="329"/>
      <c r="R79" s="329"/>
      <c r="S79" s="329">
        <f>Table1[[#This Row],[Red target threshold]]-Table1[[#This Row],[Red target threshold]]*0.5</f>
        <v>0</v>
      </c>
      <c r="T79" s="248"/>
      <c r="U79" s="281"/>
    </row>
    <row r="80" spans="1:21" s="33" customFormat="1" hidden="1" x14ac:dyDescent="0.25">
      <c r="A80" s="270"/>
      <c r="B80" s="197"/>
      <c r="C80" s="197"/>
      <c r="D80" s="197"/>
      <c r="E80" s="253"/>
      <c r="F80" s="254"/>
      <c r="G80" s="255"/>
      <c r="H80" s="305"/>
      <c r="I80" s="248"/>
      <c r="J80" s="248"/>
      <c r="K80" s="248"/>
      <c r="L80" s="329">
        <f>Table1[[#This Row],[Green target threshold]]+Table1[[#This Row],[Green target threshold]]*0.5</f>
        <v>0</v>
      </c>
      <c r="M80" s="248"/>
      <c r="N80" s="248"/>
      <c r="O80" s="248"/>
      <c r="P80" s="329"/>
      <c r="Q80" s="329"/>
      <c r="R80" s="329"/>
      <c r="S80" s="329">
        <f>Table1[[#This Row],[Red target threshold]]-Table1[[#This Row],[Red target threshold]]*0.5</f>
        <v>0</v>
      </c>
      <c r="T80" s="248"/>
      <c r="U80" s="281"/>
    </row>
    <row r="81" spans="1:21" s="33" customFormat="1" hidden="1" x14ac:dyDescent="0.25">
      <c r="A81" s="270"/>
      <c r="B81" s="197"/>
      <c r="C81" s="197"/>
      <c r="D81" s="197"/>
      <c r="E81" s="256"/>
      <c r="F81" s="257"/>
      <c r="G81" s="258"/>
      <c r="H81" s="305"/>
      <c r="I81" s="248"/>
      <c r="J81" s="248"/>
      <c r="K81" s="248"/>
      <c r="L81" s="248">
        <f>Table1[[#This Row],[Green target threshold]]+Table1[[#This Row],[Green target threshold]]*0.5</f>
        <v>0</v>
      </c>
      <c r="M81" s="248"/>
      <c r="N81" s="248"/>
      <c r="O81" s="248"/>
      <c r="P81" s="248"/>
      <c r="Q81" s="248"/>
      <c r="R81" s="248"/>
      <c r="S81" s="248">
        <f>Table1[[#This Row],[Red target threshold]]-Table1[[#This Row],[Red target threshold]]*0.5</f>
        <v>0</v>
      </c>
      <c r="T81" s="248"/>
      <c r="U81" s="281"/>
    </row>
    <row r="82" spans="1:21" s="33" customFormat="1" hidden="1" x14ac:dyDescent="0.25">
      <c r="A82" s="270"/>
      <c r="B82" s="197"/>
      <c r="C82" s="197"/>
      <c r="D82" s="197"/>
      <c r="E82" s="256"/>
      <c r="F82" s="257"/>
      <c r="G82" s="258"/>
      <c r="H82" s="305"/>
      <c r="I82" s="248"/>
      <c r="J82" s="248"/>
      <c r="K82" s="248"/>
      <c r="L82" s="248">
        <f>Table1[[#This Row],[Green target threshold]]+Table1[[#This Row],[Green target threshold]]*0.5</f>
        <v>0</v>
      </c>
      <c r="M82" s="248"/>
      <c r="N82" s="248"/>
      <c r="O82" s="248"/>
      <c r="P82" s="248"/>
      <c r="Q82" s="248"/>
      <c r="R82" s="248"/>
      <c r="S82" s="248">
        <f>Table1[[#This Row],[Red target threshold]]-Table1[[#This Row],[Red target threshold]]*0.5</f>
        <v>0</v>
      </c>
      <c r="T82" s="248"/>
      <c r="U82" s="281"/>
    </row>
    <row r="83" spans="1:21" s="33" customFormat="1" hidden="1" x14ac:dyDescent="0.25">
      <c r="A83" s="270"/>
      <c r="B83" s="197"/>
      <c r="C83" s="197"/>
      <c r="D83" s="197"/>
      <c r="E83" s="256"/>
      <c r="F83" s="257"/>
      <c r="G83" s="258"/>
      <c r="H83" s="305"/>
      <c r="I83" s="248"/>
      <c r="J83" s="248"/>
      <c r="K83" s="248"/>
      <c r="L83" s="329">
        <f>Table1[[#This Row],[Green target threshold]]+Table1[[#This Row],[Green target threshold]]*0.5</f>
        <v>0</v>
      </c>
      <c r="M83" s="248"/>
      <c r="N83" s="248"/>
      <c r="O83" s="248"/>
      <c r="P83" s="329"/>
      <c r="Q83" s="329"/>
      <c r="R83" s="329"/>
      <c r="S83" s="329">
        <f>Table1[[#This Row],[Red target threshold]]-Table1[[#This Row],[Red target threshold]]*0.5</f>
        <v>0</v>
      </c>
      <c r="T83" s="248"/>
      <c r="U83" s="281"/>
    </row>
    <row r="84" spans="1:21" s="33" customFormat="1" hidden="1" x14ac:dyDescent="0.25">
      <c r="A84" s="270"/>
      <c r="B84" s="197"/>
      <c r="C84" s="197"/>
      <c r="D84" s="197"/>
      <c r="E84" s="256"/>
      <c r="F84" s="257"/>
      <c r="G84" s="258"/>
      <c r="H84" s="305"/>
      <c r="I84" s="248"/>
      <c r="J84" s="248"/>
      <c r="K84" s="248"/>
      <c r="L84" s="329">
        <f>Table1[[#This Row],[Green target threshold]]+Table1[[#This Row],[Green target threshold]]*0.5</f>
        <v>0</v>
      </c>
      <c r="M84" s="248"/>
      <c r="N84" s="248"/>
      <c r="O84" s="248"/>
      <c r="P84" s="329"/>
      <c r="Q84" s="329"/>
      <c r="R84" s="329"/>
      <c r="S84" s="329">
        <f>Table1[[#This Row],[Red target threshold]]-Table1[[#This Row],[Red target threshold]]*0.5</f>
        <v>0</v>
      </c>
      <c r="T84" s="248"/>
      <c r="U84" s="281"/>
    </row>
    <row r="85" spans="1:21" s="33" customFormat="1" hidden="1" x14ac:dyDescent="0.25">
      <c r="A85" s="270"/>
      <c r="B85" s="197"/>
      <c r="C85" s="197"/>
      <c r="D85" s="197"/>
      <c r="E85" s="256"/>
      <c r="F85" s="257"/>
      <c r="G85" s="258"/>
      <c r="H85" s="305"/>
      <c r="I85" s="248"/>
      <c r="J85" s="248"/>
      <c r="K85" s="248"/>
      <c r="L85" s="329">
        <f>Table1[[#This Row],[Green target threshold]]+Table1[[#This Row],[Green target threshold]]*0.5</f>
        <v>0</v>
      </c>
      <c r="M85" s="248"/>
      <c r="N85" s="248"/>
      <c r="O85" s="248"/>
      <c r="P85" s="329"/>
      <c r="Q85" s="329"/>
      <c r="R85" s="329"/>
      <c r="S85" s="329">
        <f>Table1[[#This Row],[Red target threshold]]-Table1[[#This Row],[Red target threshold]]*0.5</f>
        <v>0</v>
      </c>
      <c r="T85" s="248"/>
      <c r="U85" s="281"/>
    </row>
    <row r="86" spans="1:21" s="268" customFormat="1" hidden="1" x14ac:dyDescent="0.25">
      <c r="A86" s="294"/>
      <c r="B86" s="299"/>
      <c r="C86" s="299"/>
      <c r="D86" s="299"/>
      <c r="E86" s="301">
        <v>2005</v>
      </c>
      <c r="F86" s="301">
        <v>2010</v>
      </c>
      <c r="G86" s="301">
        <v>2020</v>
      </c>
      <c r="H86" s="301"/>
      <c r="I86" s="301"/>
      <c r="J86" s="301"/>
      <c r="K86" s="301"/>
      <c r="L86" s="301">
        <f>Table1[[#This Row],[Green target threshold]]+Table1[[#This Row],[Green target threshold]]*0.5</f>
        <v>0</v>
      </c>
      <c r="M86" s="301"/>
      <c r="N86" s="301"/>
      <c r="O86" s="301"/>
      <c r="P86" s="301"/>
      <c r="Q86" s="301"/>
      <c r="R86" s="301"/>
      <c r="S86" s="301">
        <f>Table1[[#This Row],[Red target threshold]]-Table1[[#This Row],[Red target threshold]]*0.5</f>
        <v>0</v>
      </c>
      <c r="T86" s="301"/>
      <c r="U86" s="296"/>
    </row>
    <row r="87" spans="1:21" s="33" customFormat="1" x14ac:dyDescent="0.25">
      <c r="A87" s="302" t="s">
        <v>968</v>
      </c>
      <c r="B87" s="336" t="s">
        <v>27</v>
      </c>
      <c r="C87" s="337" t="s">
        <v>965</v>
      </c>
      <c r="D87" s="336" t="s">
        <v>1083</v>
      </c>
      <c r="E87" s="304">
        <v>1536.067</v>
      </c>
      <c r="F87" s="304">
        <v>1546.1590000000001</v>
      </c>
      <c r="G87" s="304">
        <v>1618.385</v>
      </c>
      <c r="H87" s="305">
        <v>2020</v>
      </c>
      <c r="I87" s="305">
        <v>1618.385</v>
      </c>
      <c r="J87" s="305">
        <v>2015</v>
      </c>
      <c r="K87" s="295">
        <v>1514.59</v>
      </c>
      <c r="L87" s="295">
        <f>Table1[[#This Row],[Green target threshold]]+Table1[[#This Row],[Green target threshold]]*0.5</f>
        <v>1817.508</v>
      </c>
      <c r="M87" s="305">
        <f>Table1[[#This Row],[Model reference value]]+Table1[[#This Row],[Model reference value]]*Table1[[#This Row],[Improvement rate]]</f>
        <v>1211.672</v>
      </c>
      <c r="N87" s="305">
        <v>-0.2</v>
      </c>
      <c r="O87" s="305" t="s">
        <v>1140</v>
      </c>
      <c r="P87" s="305">
        <f>(M87-K87)*0.5+K87</f>
        <v>1363.1309999999999</v>
      </c>
      <c r="Q87" s="305">
        <f>K87</f>
        <v>1514.59</v>
      </c>
      <c r="R87" s="305">
        <f>K87</f>
        <v>1514.59</v>
      </c>
      <c r="S87" s="305">
        <f>Table1[[#This Row],[Red target threshold]]-Table1[[#This Row],[Red target threshold]]*0.5</f>
        <v>757.29499999999996</v>
      </c>
      <c r="T87" s="305" t="s">
        <v>1120</v>
      </c>
      <c r="U87" s="303" t="s">
        <v>979</v>
      </c>
    </row>
    <row r="88" spans="1:21" s="33" customFormat="1" hidden="1" x14ac:dyDescent="0.25">
      <c r="A88" s="270"/>
      <c r="B88" s="197"/>
      <c r="C88" s="197"/>
      <c r="D88" s="197"/>
      <c r="E88" s="253"/>
      <c r="F88" s="254"/>
      <c r="G88" s="255"/>
      <c r="H88" s="305"/>
      <c r="I88" s="248"/>
      <c r="J88" s="248"/>
      <c r="K88" s="248"/>
      <c r="L88" s="248">
        <f>Table1[[#This Row],[Green target threshold]]+Table1[[#This Row],[Green target threshold]]*0.5</f>
        <v>0</v>
      </c>
      <c r="M88" s="248"/>
      <c r="N88" s="248"/>
      <c r="O88" s="248"/>
      <c r="P88" s="248"/>
      <c r="Q88" s="248"/>
      <c r="R88" s="248"/>
      <c r="S88" s="248">
        <f>Table1[[#This Row],[Red target threshold]]-Table1[[#This Row],[Red target threshold]]*0.5</f>
        <v>0</v>
      </c>
      <c r="T88" s="248"/>
      <c r="U88" s="281"/>
    </row>
    <row r="89" spans="1:21" s="33" customFormat="1" hidden="1" x14ac:dyDescent="0.25">
      <c r="A89" s="270"/>
      <c r="B89" s="197"/>
      <c r="C89" s="197"/>
      <c r="D89" s="197"/>
      <c r="E89" s="253"/>
      <c r="F89" s="254"/>
      <c r="G89" s="255"/>
      <c r="H89" s="305"/>
      <c r="I89" s="248"/>
      <c r="J89" s="248"/>
      <c r="K89" s="248"/>
      <c r="L89" s="248">
        <f>Table1[[#This Row],[Green target threshold]]+Table1[[#This Row],[Green target threshold]]*0.5</f>
        <v>0</v>
      </c>
      <c r="M89" s="248"/>
      <c r="N89" s="248"/>
      <c r="O89" s="248"/>
      <c r="P89" s="248"/>
      <c r="Q89" s="248"/>
      <c r="R89" s="248"/>
      <c r="S89" s="248">
        <f>Table1[[#This Row],[Red target threshold]]-Table1[[#This Row],[Red target threshold]]*0.5</f>
        <v>0</v>
      </c>
      <c r="T89" s="248"/>
      <c r="U89" s="281"/>
    </row>
    <row r="90" spans="1:21" s="33" customFormat="1" hidden="1" x14ac:dyDescent="0.25">
      <c r="A90" s="270"/>
      <c r="B90" s="197"/>
      <c r="C90" s="197"/>
      <c r="D90" s="197"/>
      <c r="E90" s="253"/>
      <c r="F90" s="254"/>
      <c r="G90" s="255"/>
      <c r="H90" s="305"/>
      <c r="I90" s="248"/>
      <c r="J90" s="248"/>
      <c r="K90" s="248"/>
      <c r="L90" s="248">
        <f>Table1[[#This Row],[Green target threshold]]+Table1[[#This Row],[Green target threshold]]*0.5</f>
        <v>0</v>
      </c>
      <c r="M90" s="248"/>
      <c r="N90" s="248"/>
      <c r="O90" s="248"/>
      <c r="P90" s="248"/>
      <c r="Q90" s="248"/>
      <c r="R90" s="248"/>
      <c r="S90" s="248">
        <f>Table1[[#This Row],[Red target threshold]]-Table1[[#This Row],[Red target threshold]]*0.5</f>
        <v>0</v>
      </c>
      <c r="T90" s="248"/>
      <c r="U90" s="281"/>
    </row>
    <row r="91" spans="1:21" s="33" customFormat="1" hidden="1" x14ac:dyDescent="0.25">
      <c r="A91" s="270"/>
      <c r="B91" s="197"/>
      <c r="C91" s="197"/>
      <c r="D91" s="197"/>
      <c r="E91" s="253"/>
      <c r="F91" s="254"/>
      <c r="G91" s="255"/>
      <c r="H91" s="305"/>
      <c r="I91" s="248"/>
      <c r="J91" s="248"/>
      <c r="K91" s="248"/>
      <c r="L91" s="329">
        <f>Table1[[#This Row],[Green target threshold]]+Table1[[#This Row],[Green target threshold]]*0.5</f>
        <v>0</v>
      </c>
      <c r="M91" s="248"/>
      <c r="N91" s="248"/>
      <c r="O91" s="248"/>
      <c r="P91" s="329"/>
      <c r="Q91" s="329"/>
      <c r="R91" s="329"/>
      <c r="S91" s="329">
        <f>Table1[[#This Row],[Red target threshold]]-Table1[[#This Row],[Red target threshold]]*0.5</f>
        <v>0</v>
      </c>
      <c r="T91" s="248"/>
      <c r="U91" s="281"/>
    </row>
    <row r="92" spans="1:21" s="33" customFormat="1" hidden="1" x14ac:dyDescent="0.25">
      <c r="A92" s="270"/>
      <c r="B92" s="197"/>
      <c r="C92" s="197"/>
      <c r="D92" s="197"/>
      <c r="E92" s="253"/>
      <c r="F92" s="254"/>
      <c r="G92" s="255"/>
      <c r="H92" s="305"/>
      <c r="I92" s="248"/>
      <c r="J92" s="248"/>
      <c r="K92" s="248"/>
      <c r="L92" s="329">
        <f>Table1[[#This Row],[Green target threshold]]+Table1[[#This Row],[Green target threshold]]*0.5</f>
        <v>0</v>
      </c>
      <c r="M92" s="248"/>
      <c r="N92" s="248"/>
      <c r="O92" s="248"/>
      <c r="P92" s="329"/>
      <c r="Q92" s="329"/>
      <c r="R92" s="329"/>
      <c r="S92" s="329">
        <f>Table1[[#This Row],[Red target threshold]]-Table1[[#This Row],[Red target threshold]]*0.5</f>
        <v>0</v>
      </c>
      <c r="T92" s="248"/>
      <c r="U92" s="281"/>
    </row>
    <row r="93" spans="1:21" s="33" customFormat="1" hidden="1" x14ac:dyDescent="0.25">
      <c r="A93" s="270"/>
      <c r="B93" s="197"/>
      <c r="C93" s="197"/>
      <c r="D93" s="197"/>
      <c r="E93" s="256"/>
      <c r="F93" s="257"/>
      <c r="G93" s="258"/>
      <c r="H93" s="305"/>
      <c r="I93" s="248"/>
      <c r="J93" s="248"/>
      <c r="K93" s="248"/>
      <c r="L93" s="248">
        <f>Table1[[#This Row],[Green target threshold]]+Table1[[#This Row],[Green target threshold]]*0.5</f>
        <v>0</v>
      </c>
      <c r="M93" s="248"/>
      <c r="N93" s="248"/>
      <c r="O93" s="248"/>
      <c r="P93" s="248"/>
      <c r="Q93" s="248"/>
      <c r="R93" s="248"/>
      <c r="S93" s="248">
        <f>Table1[[#This Row],[Red target threshold]]-Table1[[#This Row],[Red target threshold]]*0.5</f>
        <v>0</v>
      </c>
      <c r="T93" s="248"/>
      <c r="U93" s="281"/>
    </row>
    <row r="94" spans="1:21" s="33" customFormat="1" hidden="1" x14ac:dyDescent="0.25">
      <c r="A94" s="270"/>
      <c r="B94" s="197"/>
      <c r="C94" s="197"/>
      <c r="D94" s="197"/>
      <c r="E94" s="256"/>
      <c r="F94" s="257"/>
      <c r="G94" s="258"/>
      <c r="H94" s="305"/>
      <c r="I94" s="248"/>
      <c r="J94" s="248"/>
      <c r="K94" s="248"/>
      <c r="L94" s="248">
        <f>Table1[[#This Row],[Green target threshold]]+Table1[[#This Row],[Green target threshold]]*0.5</f>
        <v>0</v>
      </c>
      <c r="M94" s="248"/>
      <c r="N94" s="248"/>
      <c r="O94" s="248"/>
      <c r="P94" s="248"/>
      <c r="Q94" s="248"/>
      <c r="R94" s="248"/>
      <c r="S94" s="248">
        <f>Table1[[#This Row],[Red target threshold]]-Table1[[#This Row],[Red target threshold]]*0.5</f>
        <v>0</v>
      </c>
      <c r="T94" s="248"/>
      <c r="U94" s="281"/>
    </row>
    <row r="95" spans="1:21" s="33" customFormat="1" hidden="1" x14ac:dyDescent="0.25">
      <c r="A95" s="270"/>
      <c r="B95" s="197"/>
      <c r="C95" s="197"/>
      <c r="D95" s="197"/>
      <c r="E95" s="256"/>
      <c r="F95" s="257"/>
      <c r="G95" s="258"/>
      <c r="H95" s="305"/>
      <c r="I95" s="248"/>
      <c r="J95" s="248"/>
      <c r="K95" s="248"/>
      <c r="L95" s="329">
        <f>Table1[[#This Row],[Green target threshold]]+Table1[[#This Row],[Green target threshold]]*0.5</f>
        <v>0</v>
      </c>
      <c r="M95" s="248"/>
      <c r="N95" s="248"/>
      <c r="O95" s="248"/>
      <c r="P95" s="329"/>
      <c r="Q95" s="329"/>
      <c r="R95" s="329"/>
      <c r="S95" s="329">
        <f>Table1[[#This Row],[Red target threshold]]-Table1[[#This Row],[Red target threshold]]*0.5</f>
        <v>0</v>
      </c>
      <c r="T95" s="248"/>
      <c r="U95" s="281"/>
    </row>
    <row r="96" spans="1:21" s="33" customFormat="1" hidden="1" x14ac:dyDescent="0.25">
      <c r="A96" s="270"/>
      <c r="B96" s="197"/>
      <c r="C96" s="197"/>
      <c r="D96" s="197"/>
      <c r="E96" s="256"/>
      <c r="F96" s="257"/>
      <c r="G96" s="258"/>
      <c r="H96" s="305"/>
      <c r="I96" s="248"/>
      <c r="J96" s="248"/>
      <c r="K96" s="248"/>
      <c r="L96" s="329">
        <f>Table1[[#This Row],[Green target threshold]]+Table1[[#This Row],[Green target threshold]]*0.5</f>
        <v>0</v>
      </c>
      <c r="M96" s="248"/>
      <c r="N96" s="248"/>
      <c r="O96" s="248"/>
      <c r="P96" s="329"/>
      <c r="Q96" s="329"/>
      <c r="R96" s="329"/>
      <c r="S96" s="329">
        <f>Table1[[#This Row],[Red target threshold]]-Table1[[#This Row],[Red target threshold]]*0.5</f>
        <v>0</v>
      </c>
      <c r="T96" s="248"/>
      <c r="U96" s="281"/>
    </row>
    <row r="97" spans="1:21" s="33" customFormat="1" hidden="1" x14ac:dyDescent="0.25">
      <c r="A97" s="270"/>
      <c r="B97" s="197"/>
      <c r="C97" s="197"/>
      <c r="D97" s="197"/>
      <c r="E97" s="256"/>
      <c r="F97" s="257"/>
      <c r="G97" s="258"/>
      <c r="H97" s="305"/>
      <c r="I97" s="248"/>
      <c r="J97" s="248"/>
      <c r="K97" s="248"/>
      <c r="L97" s="329">
        <f>Table1[[#This Row],[Green target threshold]]+Table1[[#This Row],[Green target threshold]]*0.5</f>
        <v>0</v>
      </c>
      <c r="M97" s="248"/>
      <c r="N97" s="248"/>
      <c r="O97" s="248"/>
      <c r="P97" s="329"/>
      <c r="Q97" s="329"/>
      <c r="R97" s="329"/>
      <c r="S97" s="329">
        <f>Table1[[#This Row],[Red target threshold]]-Table1[[#This Row],[Red target threshold]]*0.5</f>
        <v>0</v>
      </c>
      <c r="T97" s="248"/>
      <c r="U97" s="281"/>
    </row>
    <row r="98" spans="1:21" s="262" customFormat="1" hidden="1" x14ac:dyDescent="0.25">
      <c r="A98" s="293"/>
      <c r="B98" s="290"/>
      <c r="C98" s="290"/>
      <c r="D98" s="290"/>
      <c r="E98" s="291">
        <v>2016</v>
      </c>
      <c r="F98" s="291">
        <v>2017</v>
      </c>
      <c r="G98" s="291">
        <v>2018</v>
      </c>
      <c r="H98" s="291"/>
      <c r="I98" s="291"/>
      <c r="J98" s="291"/>
      <c r="K98" s="291"/>
      <c r="L98" s="291">
        <f>Table1[[#This Row],[Green target threshold]]+Table1[[#This Row],[Green target threshold]]*0.5</f>
        <v>0</v>
      </c>
      <c r="M98" s="291"/>
      <c r="N98" s="291"/>
      <c r="O98" s="291"/>
      <c r="P98" s="291"/>
      <c r="Q98" s="291"/>
      <c r="R98" s="291"/>
      <c r="S98" s="291">
        <f>Table1[[#This Row],[Red target threshold]]-Table1[[#This Row],[Red target threshold]]*0.5</f>
        <v>0</v>
      </c>
      <c r="T98" s="291"/>
      <c r="U98" s="297"/>
    </row>
    <row r="99" spans="1:21" hidden="1" x14ac:dyDescent="0.25">
      <c r="A99" s="302" t="s">
        <v>549</v>
      </c>
      <c r="B99" s="337" t="s">
        <v>547</v>
      </c>
      <c r="C99" s="337" t="s">
        <v>219</v>
      </c>
      <c r="D99" s="336" t="s">
        <v>904</v>
      </c>
      <c r="E99" s="304">
        <v>72.180484340000007</v>
      </c>
      <c r="F99" s="304">
        <v>72.385296440000005</v>
      </c>
      <c r="G99" s="304">
        <v>72.560055829999996</v>
      </c>
      <c r="H99" s="305">
        <v>2018</v>
      </c>
      <c r="I99" s="305">
        <v>72.560055829999996</v>
      </c>
      <c r="J99" s="305">
        <v>2015</v>
      </c>
      <c r="K99" s="295">
        <v>68.372799999999998</v>
      </c>
      <c r="L99" s="295">
        <f>Table1[[#This Row],[Green target threshold]]+Table1[[#This Row],[Green target threshold]]*0.5</f>
        <v>125.75304877799999</v>
      </c>
      <c r="M99" s="305">
        <f>AVERAGE(G100:G104)</f>
        <v>83.835365851999995</v>
      </c>
      <c r="N99" s="305"/>
      <c r="O99" s="305" t="s">
        <v>978</v>
      </c>
      <c r="P99" s="305">
        <f>(M99-K99)*0.5+K99</f>
        <v>76.10408292599999</v>
      </c>
      <c r="Q99" s="305">
        <f>K99</f>
        <v>68.372799999999998</v>
      </c>
      <c r="R99" s="305">
        <f>K99</f>
        <v>68.372799999999998</v>
      </c>
      <c r="S99" s="305">
        <f>Table1[[#This Row],[Red target threshold]]-Table1[[#This Row],[Red target threshold]]*0.5</f>
        <v>34.186399999999999</v>
      </c>
      <c r="T99" s="305"/>
      <c r="U99" s="303" t="s">
        <v>714</v>
      </c>
    </row>
    <row r="100" spans="1:21" hidden="1" x14ac:dyDescent="0.25">
      <c r="A100" s="271"/>
      <c r="B100" s="173"/>
      <c r="C100" s="173"/>
      <c r="D100" s="173" t="s">
        <v>708</v>
      </c>
      <c r="E100" s="253">
        <v>84.226829269999996</v>
      </c>
      <c r="F100" s="254">
        <v>84.680487799999995</v>
      </c>
      <c r="G100" s="255">
        <v>84.934146339999998</v>
      </c>
      <c r="H100" s="305">
        <v>2018</v>
      </c>
      <c r="I100" s="248">
        <v>84.934146339999998</v>
      </c>
      <c r="J100" s="248"/>
      <c r="K100" s="248"/>
      <c r="L100" s="248">
        <f>Table1[[#This Row],[Green target threshold]]+Table1[[#This Row],[Green target threshold]]*0.5</f>
        <v>0</v>
      </c>
      <c r="M100" s="248"/>
      <c r="N100" s="248"/>
      <c r="O100" s="248"/>
      <c r="P100" s="248"/>
      <c r="Q100" s="248"/>
      <c r="R100" s="248"/>
      <c r="S100" s="248">
        <f>Table1[[#This Row],[Red target threshold]]-Table1[[#This Row],[Red target threshold]]*0.5</f>
        <v>0</v>
      </c>
      <c r="T100" s="248"/>
      <c r="U100" s="278"/>
    </row>
    <row r="101" spans="1:21" hidden="1" x14ac:dyDescent="0.25">
      <c r="A101" s="271"/>
      <c r="B101" s="173"/>
      <c r="C101" s="173"/>
      <c r="D101" s="173" t="s">
        <v>715</v>
      </c>
      <c r="E101" s="253">
        <v>83.984878050000006</v>
      </c>
      <c r="F101" s="254">
        <v>84.099756099999993</v>
      </c>
      <c r="G101" s="255">
        <v>84.210975610000006</v>
      </c>
      <c r="H101" s="305">
        <v>2018</v>
      </c>
      <c r="I101" s="248">
        <v>84.210975610000006</v>
      </c>
      <c r="J101" s="248"/>
      <c r="K101" s="248"/>
      <c r="L101" s="248">
        <f>Table1[[#This Row],[Green target threshold]]+Table1[[#This Row],[Green target threshold]]*0.5</f>
        <v>0</v>
      </c>
      <c r="M101" s="248"/>
      <c r="N101" s="248"/>
      <c r="O101" s="248"/>
      <c r="P101" s="248"/>
      <c r="Q101" s="248"/>
      <c r="R101" s="248"/>
      <c r="S101" s="248">
        <f>Table1[[#This Row],[Red target threshold]]-Table1[[#This Row],[Red target threshold]]*0.5</f>
        <v>0</v>
      </c>
      <c r="T101" s="248"/>
      <c r="U101" s="278"/>
    </row>
    <row r="102" spans="1:21" hidden="1" x14ac:dyDescent="0.25">
      <c r="A102" s="271"/>
      <c r="B102" s="173"/>
      <c r="C102" s="173"/>
      <c r="D102" s="173" t="s">
        <v>700</v>
      </c>
      <c r="E102" s="253">
        <v>83.602439020000006</v>
      </c>
      <c r="F102" s="254">
        <v>83.551219509999996</v>
      </c>
      <c r="G102" s="255">
        <v>83.551219509999996</v>
      </c>
      <c r="H102" s="305">
        <v>2018</v>
      </c>
      <c r="I102" s="248">
        <v>83.551219509999996</v>
      </c>
      <c r="J102" s="248"/>
      <c r="K102" s="248"/>
      <c r="L102" s="248">
        <f>Table1[[#This Row],[Green target threshold]]+Table1[[#This Row],[Green target threshold]]*0.5</f>
        <v>0</v>
      </c>
      <c r="M102" s="248"/>
      <c r="N102" s="248"/>
      <c r="O102" s="248"/>
      <c r="P102" s="248"/>
      <c r="Q102" s="248"/>
      <c r="R102" s="248"/>
      <c r="S102" s="248">
        <f>Table1[[#This Row],[Red target threshold]]-Table1[[#This Row],[Red target threshold]]*0.5</f>
        <v>0</v>
      </c>
      <c r="T102" s="248"/>
      <c r="U102" s="278"/>
    </row>
    <row r="103" spans="1:21" hidden="1" x14ac:dyDescent="0.25">
      <c r="A103" s="271"/>
      <c r="B103" s="173"/>
      <c r="C103" s="173"/>
      <c r="D103" s="173" t="s">
        <v>716</v>
      </c>
      <c r="E103" s="253">
        <v>83.329268290000002</v>
      </c>
      <c r="F103" s="254">
        <v>83.282926829999994</v>
      </c>
      <c r="G103" s="255">
        <v>83.334146340000004</v>
      </c>
      <c r="H103" s="305">
        <v>2018</v>
      </c>
      <c r="I103" s="248">
        <v>83.334146340000004</v>
      </c>
      <c r="J103" s="248"/>
      <c r="K103" s="248"/>
      <c r="L103" s="248">
        <f>Table1[[#This Row],[Green target threshold]]+Table1[[#This Row],[Green target threshold]]*0.5</f>
        <v>0</v>
      </c>
      <c r="M103" s="248"/>
      <c r="N103" s="248"/>
      <c r="O103" s="248"/>
      <c r="P103" s="248"/>
      <c r="Q103" s="248"/>
      <c r="R103" s="248"/>
      <c r="S103" s="248">
        <f>Table1[[#This Row],[Red target threshold]]-Table1[[#This Row],[Red target threshold]]*0.5</f>
        <v>0</v>
      </c>
      <c r="T103" s="248"/>
      <c r="U103" s="278"/>
    </row>
    <row r="104" spans="1:21" hidden="1" x14ac:dyDescent="0.25">
      <c r="A104" s="271"/>
      <c r="B104" s="173"/>
      <c r="C104" s="173"/>
      <c r="D104" s="173" t="s">
        <v>702</v>
      </c>
      <c r="E104" s="253">
        <v>82.846341460000005</v>
      </c>
      <c r="F104" s="254">
        <v>83.095121950000006</v>
      </c>
      <c r="G104" s="255">
        <v>83.146341460000002</v>
      </c>
      <c r="H104" s="305">
        <v>2018</v>
      </c>
      <c r="I104" s="248">
        <v>83.146341460000002</v>
      </c>
      <c r="J104" s="248"/>
      <c r="K104" s="248"/>
      <c r="L104" s="248">
        <f>Table1[[#This Row],[Green target threshold]]+Table1[[#This Row],[Green target threshold]]*0.5</f>
        <v>0</v>
      </c>
      <c r="M104" s="248"/>
      <c r="N104" s="248"/>
      <c r="O104" s="248"/>
      <c r="P104" s="248"/>
      <c r="Q104" s="248"/>
      <c r="R104" s="248"/>
      <c r="S104" s="248">
        <f>Table1[[#This Row],[Red target threshold]]-Table1[[#This Row],[Red target threshold]]*0.5</f>
        <v>0</v>
      </c>
      <c r="T104" s="248"/>
      <c r="U104" s="278"/>
    </row>
    <row r="105" spans="1:21" hidden="1" x14ac:dyDescent="0.25">
      <c r="A105" s="271"/>
      <c r="B105" s="173"/>
      <c r="C105" s="173"/>
      <c r="D105" s="173" t="s">
        <v>711</v>
      </c>
      <c r="E105" s="256">
        <v>53.438000000000002</v>
      </c>
      <c r="F105" s="257">
        <v>53.712000000000003</v>
      </c>
      <c r="G105" s="258">
        <v>53.976999999999997</v>
      </c>
      <c r="H105" s="305">
        <v>2018</v>
      </c>
      <c r="I105" s="248">
        <v>53.976999999999997</v>
      </c>
      <c r="J105" s="248"/>
      <c r="K105" s="248"/>
      <c r="L105" s="248">
        <f>Table1[[#This Row],[Green target threshold]]+Table1[[#This Row],[Green target threshold]]*0.5</f>
        <v>0</v>
      </c>
      <c r="M105" s="248"/>
      <c r="N105" s="248"/>
      <c r="O105" s="248"/>
      <c r="P105" s="248"/>
      <c r="Q105" s="248"/>
      <c r="R105" s="248"/>
      <c r="S105" s="248">
        <f>Table1[[#This Row],[Red target threshold]]-Table1[[#This Row],[Red target threshold]]*0.5</f>
        <v>0</v>
      </c>
      <c r="T105" s="248"/>
      <c r="U105" s="278"/>
    </row>
    <row r="106" spans="1:21" hidden="1" x14ac:dyDescent="0.25">
      <c r="A106" s="271"/>
      <c r="B106" s="173"/>
      <c r="C106" s="173"/>
      <c r="D106" s="173" t="s">
        <v>705</v>
      </c>
      <c r="E106" s="256">
        <v>53.444000000000003</v>
      </c>
      <c r="F106" s="257">
        <v>53.895000000000003</v>
      </c>
      <c r="G106" s="258">
        <v>54.308999999999997</v>
      </c>
      <c r="H106" s="305">
        <v>2018</v>
      </c>
      <c r="I106" s="248">
        <v>54.308999999999997</v>
      </c>
      <c r="J106" s="248"/>
      <c r="K106" s="248"/>
      <c r="L106" s="248">
        <f>Table1[[#This Row],[Green target threshold]]+Table1[[#This Row],[Green target threshold]]*0.5</f>
        <v>0</v>
      </c>
      <c r="M106" s="248"/>
      <c r="N106" s="248"/>
      <c r="O106" s="248"/>
      <c r="P106" s="248"/>
      <c r="Q106" s="248"/>
      <c r="R106" s="248"/>
      <c r="S106" s="248">
        <f>Table1[[#This Row],[Red target threshold]]-Table1[[#This Row],[Red target threshold]]*0.5</f>
        <v>0</v>
      </c>
      <c r="T106" s="248"/>
      <c r="U106" s="278"/>
    </row>
    <row r="107" spans="1:21" hidden="1" x14ac:dyDescent="0.25">
      <c r="A107" s="271"/>
      <c r="B107" s="173"/>
      <c r="C107" s="173"/>
      <c r="D107" s="173" t="s">
        <v>717</v>
      </c>
      <c r="E107" s="256">
        <v>53.540999999999997</v>
      </c>
      <c r="F107" s="257">
        <v>53.95</v>
      </c>
      <c r="G107" s="258">
        <v>54.332000000000001</v>
      </c>
      <c r="H107" s="305">
        <v>2018</v>
      </c>
      <c r="I107" s="248">
        <v>54.332000000000001</v>
      </c>
      <c r="J107" s="248"/>
      <c r="K107" s="248"/>
      <c r="L107" s="248">
        <f>Table1[[#This Row],[Green target threshold]]+Table1[[#This Row],[Green target threshold]]*0.5</f>
        <v>0</v>
      </c>
      <c r="M107" s="248"/>
      <c r="N107" s="248"/>
      <c r="O107" s="248"/>
      <c r="P107" s="248"/>
      <c r="Q107" s="248"/>
      <c r="R107" s="248"/>
      <c r="S107" s="248">
        <f>Table1[[#This Row],[Red target threshold]]-Table1[[#This Row],[Red target threshold]]*0.5</f>
        <v>0</v>
      </c>
      <c r="T107" s="248"/>
      <c r="U107" s="278"/>
    </row>
    <row r="108" spans="1:21" hidden="1" x14ac:dyDescent="0.25">
      <c r="A108" s="271"/>
      <c r="B108" s="173"/>
      <c r="C108" s="173"/>
      <c r="D108" s="173" t="s">
        <v>683</v>
      </c>
      <c r="E108" s="256">
        <v>56.323999999999998</v>
      </c>
      <c r="F108" s="257">
        <v>56.709000000000003</v>
      </c>
      <c r="G108" s="258">
        <v>57.067999999999998</v>
      </c>
      <c r="H108" s="305">
        <v>2018</v>
      </c>
      <c r="I108" s="248">
        <v>57.067999999999998</v>
      </c>
      <c r="J108" s="248"/>
      <c r="K108" s="248"/>
      <c r="L108" s="248">
        <f>Table1[[#This Row],[Green target threshold]]+Table1[[#This Row],[Green target threshold]]*0.5</f>
        <v>0</v>
      </c>
      <c r="M108" s="248"/>
      <c r="N108" s="248"/>
      <c r="O108" s="248"/>
      <c r="P108" s="248"/>
      <c r="Q108" s="248"/>
      <c r="R108" s="248"/>
      <c r="S108" s="248">
        <f>Table1[[#This Row],[Red target threshold]]-Table1[[#This Row],[Red target threshold]]*0.5</f>
        <v>0</v>
      </c>
      <c r="T108" s="248"/>
      <c r="U108" s="278"/>
    </row>
    <row r="109" spans="1:21" hidden="1" x14ac:dyDescent="0.25">
      <c r="A109" s="271"/>
      <c r="B109" s="173"/>
      <c r="C109" s="173"/>
      <c r="D109" s="173" t="s">
        <v>718</v>
      </c>
      <c r="E109" s="256">
        <v>57.12</v>
      </c>
      <c r="F109" s="257">
        <v>57.365000000000002</v>
      </c>
      <c r="G109" s="258">
        <v>57.603999999999999</v>
      </c>
      <c r="H109" s="305">
        <v>2018</v>
      </c>
      <c r="I109" s="248">
        <v>57.603999999999999</v>
      </c>
      <c r="J109" s="248"/>
      <c r="K109" s="248"/>
      <c r="L109" s="248">
        <f>Table1[[#This Row],[Green target threshold]]+Table1[[#This Row],[Green target threshold]]*0.5</f>
        <v>0</v>
      </c>
      <c r="M109" s="248"/>
      <c r="N109" s="248"/>
      <c r="O109" s="248"/>
      <c r="P109" s="248"/>
      <c r="Q109" s="248"/>
      <c r="R109" s="248"/>
      <c r="S109" s="248">
        <f>Table1[[#This Row],[Red target threshold]]-Table1[[#This Row],[Red target threshold]]*0.5</f>
        <v>0</v>
      </c>
      <c r="T109" s="248"/>
      <c r="U109" s="278"/>
    </row>
    <row r="110" spans="1:21" s="262" customFormat="1" hidden="1" x14ac:dyDescent="0.25">
      <c r="A110" s="293"/>
      <c r="B110" s="290"/>
      <c r="C110" s="290"/>
      <c r="D110" s="290"/>
      <c r="E110" s="291">
        <v>2016</v>
      </c>
      <c r="F110" s="291">
        <v>2017</v>
      </c>
      <c r="G110" s="291">
        <v>2018</v>
      </c>
      <c r="H110" s="291"/>
      <c r="I110" s="291"/>
      <c r="J110" s="291"/>
      <c r="K110" s="291"/>
      <c r="L110" s="291">
        <f>Table1[[#This Row],[Green target threshold]]+Table1[[#This Row],[Green target threshold]]*0.5</f>
        <v>0</v>
      </c>
      <c r="M110" s="291"/>
      <c r="N110" s="291"/>
      <c r="O110" s="291"/>
      <c r="P110" s="291"/>
      <c r="Q110" s="291"/>
      <c r="R110" s="291"/>
      <c r="S110" s="291">
        <f>Table1[[#This Row],[Red target threshold]]-Table1[[#This Row],[Red target threshold]]*0.5</f>
        <v>0</v>
      </c>
      <c r="T110" s="291"/>
      <c r="U110" s="297"/>
    </row>
    <row r="111" spans="1:21" hidden="1" x14ac:dyDescent="0.25">
      <c r="A111" s="302" t="s">
        <v>550</v>
      </c>
      <c r="B111" s="337" t="s">
        <v>548</v>
      </c>
      <c r="C111" s="337" t="s">
        <v>191</v>
      </c>
      <c r="D111" s="336" t="s">
        <v>904</v>
      </c>
      <c r="E111" s="304">
        <v>0.72699999999999998</v>
      </c>
      <c r="F111" s="304">
        <v>0.72899999999999998</v>
      </c>
      <c r="G111" s="304">
        <v>0.73099999999999998</v>
      </c>
      <c r="H111" s="305">
        <v>2018</v>
      </c>
      <c r="I111" s="305">
        <v>0.73099999999999998</v>
      </c>
      <c r="J111" s="305">
        <v>2015</v>
      </c>
      <c r="K111" s="295">
        <v>0.68093999999999999</v>
      </c>
      <c r="L111" s="295">
        <v>1</v>
      </c>
      <c r="M111" s="305">
        <f>AVERAGE(G112:G116)</f>
        <v>0.94399999999999995</v>
      </c>
      <c r="N111" s="305"/>
      <c r="O111" s="305" t="s">
        <v>978</v>
      </c>
      <c r="P111" s="305">
        <f>(M111-K111)*0.5+K111</f>
        <v>0.81247000000000003</v>
      </c>
      <c r="Q111" s="305">
        <f>K111</f>
        <v>0.68093999999999999</v>
      </c>
      <c r="R111" s="305">
        <f>K111</f>
        <v>0.68093999999999999</v>
      </c>
      <c r="S111" s="305">
        <f>Table1[[#This Row],[Red target threshold]]-Table1[[#This Row],[Red target threshold]]*0.5</f>
        <v>0.34046999999999999</v>
      </c>
      <c r="T111" s="305"/>
      <c r="U111" s="303" t="s">
        <v>719</v>
      </c>
    </row>
    <row r="112" spans="1:21" hidden="1" x14ac:dyDescent="0.25">
      <c r="A112" s="271"/>
      <c r="B112" s="173"/>
      <c r="C112" s="173"/>
      <c r="D112" s="173" t="s">
        <v>690</v>
      </c>
      <c r="E112" s="253">
        <v>0.95099999999999996</v>
      </c>
      <c r="F112" s="254">
        <v>0.95299999999999996</v>
      </c>
      <c r="G112" s="255">
        <v>0.95399999999999996</v>
      </c>
      <c r="H112" s="305">
        <v>2018</v>
      </c>
      <c r="I112" s="248">
        <v>0.95399999999999996</v>
      </c>
      <c r="J112" s="248"/>
      <c r="K112" s="248"/>
      <c r="L112" s="248">
        <f>Table1[[#This Row],[Green target threshold]]+Table1[[#This Row],[Green target threshold]]*0.5</f>
        <v>0</v>
      </c>
      <c r="M112" s="248"/>
      <c r="N112" s="248"/>
      <c r="O112" s="248"/>
      <c r="P112" s="248"/>
      <c r="Q112" s="248"/>
      <c r="R112" s="248"/>
      <c r="S112" s="248">
        <f>Table1[[#This Row],[Red target threshold]]-Table1[[#This Row],[Red target threshold]]*0.5</f>
        <v>0</v>
      </c>
      <c r="T112" s="248"/>
      <c r="U112" s="278"/>
    </row>
    <row r="113" spans="1:21" hidden="1" x14ac:dyDescent="0.25">
      <c r="A113" s="271"/>
      <c r="B113" s="173"/>
      <c r="C113" s="173"/>
      <c r="D113" s="173" t="s">
        <v>700</v>
      </c>
      <c r="E113" s="253">
        <v>0.94299999999999995</v>
      </c>
      <c r="F113" s="254">
        <v>0.94299999999999995</v>
      </c>
      <c r="G113" s="255">
        <v>0.94599999999999995</v>
      </c>
      <c r="H113" s="305">
        <v>2018</v>
      </c>
      <c r="I113" s="248">
        <v>0.94599999999999995</v>
      </c>
      <c r="J113" s="248"/>
      <c r="K113" s="248"/>
      <c r="L113" s="248">
        <f>Table1[[#This Row],[Green target threshold]]+Table1[[#This Row],[Green target threshold]]*0.5</f>
        <v>0</v>
      </c>
      <c r="M113" s="248"/>
      <c r="N113" s="248"/>
      <c r="O113" s="248"/>
      <c r="P113" s="248"/>
      <c r="Q113" s="248"/>
      <c r="R113" s="248"/>
      <c r="S113" s="248">
        <f>Table1[[#This Row],[Red target threshold]]-Table1[[#This Row],[Red target threshold]]*0.5</f>
        <v>0</v>
      </c>
      <c r="T113" s="248"/>
      <c r="U113" s="278"/>
    </row>
    <row r="114" spans="1:21" hidden="1" x14ac:dyDescent="0.25">
      <c r="A114" s="271"/>
      <c r="B114" s="173"/>
      <c r="C114" s="173"/>
      <c r="D114" s="173" t="s">
        <v>681</v>
      </c>
      <c r="E114" s="253">
        <v>0.93600000000000005</v>
      </c>
      <c r="F114" s="254">
        <v>0.93899999999999995</v>
      </c>
      <c r="G114" s="255">
        <v>0.94199999999999995</v>
      </c>
      <c r="H114" s="305">
        <v>2018</v>
      </c>
      <c r="I114" s="248">
        <v>0.94199999999999995</v>
      </c>
      <c r="J114" s="248"/>
      <c r="K114" s="248"/>
      <c r="L114" s="248">
        <f>Table1[[#This Row],[Green target threshold]]+Table1[[#This Row],[Green target threshold]]*0.5</f>
        <v>0</v>
      </c>
      <c r="M114" s="248"/>
      <c r="N114" s="248"/>
      <c r="O114" s="248"/>
      <c r="P114" s="248"/>
      <c r="Q114" s="248"/>
      <c r="R114" s="248"/>
      <c r="S114" s="248">
        <f>Table1[[#This Row],[Red target threshold]]-Table1[[#This Row],[Red target threshold]]*0.5</f>
        <v>0</v>
      </c>
      <c r="T114" s="248"/>
      <c r="U114" s="278"/>
    </row>
    <row r="115" spans="1:21" hidden="1" x14ac:dyDescent="0.25">
      <c r="A115" s="271"/>
      <c r="B115" s="173"/>
      <c r="C115" s="173"/>
      <c r="D115" s="173" t="s">
        <v>720</v>
      </c>
      <c r="E115" s="253">
        <v>0.93600000000000005</v>
      </c>
      <c r="F115" s="254">
        <v>0.93799999999999994</v>
      </c>
      <c r="G115" s="255">
        <v>0.93899999999999995</v>
      </c>
      <c r="H115" s="305">
        <v>2018</v>
      </c>
      <c r="I115" s="248">
        <v>0.93899999999999995</v>
      </c>
      <c r="J115" s="248"/>
      <c r="K115" s="248"/>
      <c r="L115" s="248">
        <f>Table1[[#This Row],[Green target threshold]]+Table1[[#This Row],[Green target threshold]]*0.5</f>
        <v>0</v>
      </c>
      <c r="M115" s="248"/>
      <c r="N115" s="248"/>
      <c r="O115" s="248"/>
      <c r="P115" s="248"/>
      <c r="Q115" s="248"/>
      <c r="R115" s="248"/>
      <c r="S115" s="248">
        <f>Table1[[#This Row],[Red target threshold]]-Table1[[#This Row],[Red target threshold]]*0.5</f>
        <v>0</v>
      </c>
      <c r="T115" s="248"/>
      <c r="U115" s="278"/>
    </row>
    <row r="116" spans="1:21" hidden="1" x14ac:dyDescent="0.25">
      <c r="A116" s="271"/>
      <c r="B116" s="173"/>
      <c r="C116" s="173"/>
      <c r="D116" s="173" t="s">
        <v>721</v>
      </c>
      <c r="E116" s="253">
        <v>0.93100000000000005</v>
      </c>
      <c r="F116" s="254">
        <v>0.93700000000000006</v>
      </c>
      <c r="G116" s="255">
        <v>0.93899999999999995</v>
      </c>
      <c r="H116" s="305">
        <v>2018</v>
      </c>
      <c r="I116" s="248">
        <v>0.93899999999999995</v>
      </c>
      <c r="J116" s="248"/>
      <c r="K116" s="248"/>
      <c r="L116" s="248">
        <f>Table1[[#This Row],[Green target threshold]]+Table1[[#This Row],[Green target threshold]]*0.5</f>
        <v>0</v>
      </c>
      <c r="M116" s="248"/>
      <c r="N116" s="248"/>
      <c r="O116" s="248"/>
      <c r="P116" s="248"/>
      <c r="Q116" s="248"/>
      <c r="R116" s="248"/>
      <c r="S116" s="248">
        <f>Table1[[#This Row],[Red target threshold]]-Table1[[#This Row],[Red target threshold]]*0.5</f>
        <v>0</v>
      </c>
      <c r="T116" s="248"/>
      <c r="U116" s="278"/>
    </row>
    <row r="117" spans="1:21" hidden="1" x14ac:dyDescent="0.25">
      <c r="A117" s="271"/>
      <c r="B117" s="173"/>
      <c r="C117" s="173"/>
      <c r="D117" s="173" t="s">
        <v>676</v>
      </c>
      <c r="E117" s="256">
        <v>0.36499999999999999</v>
      </c>
      <c r="F117" s="257">
        <v>0.373</v>
      </c>
      <c r="G117" s="258">
        <v>0.377</v>
      </c>
      <c r="H117" s="305">
        <v>2018</v>
      </c>
      <c r="I117" s="248">
        <v>0.377</v>
      </c>
      <c r="J117" s="248"/>
      <c r="K117" s="248"/>
      <c r="L117" s="248">
        <f>Table1[[#This Row],[Green target threshold]]+Table1[[#This Row],[Green target threshold]]*0.5</f>
        <v>0</v>
      </c>
      <c r="M117" s="248"/>
      <c r="N117" s="248"/>
      <c r="O117" s="248"/>
      <c r="P117" s="248"/>
      <c r="Q117" s="248"/>
      <c r="R117" s="248"/>
      <c r="S117" s="248">
        <f>Table1[[#This Row],[Red target threshold]]-Table1[[#This Row],[Red target threshold]]*0.5</f>
        <v>0</v>
      </c>
      <c r="T117" s="248"/>
      <c r="U117" s="278"/>
    </row>
    <row r="118" spans="1:21" hidden="1" x14ac:dyDescent="0.25">
      <c r="A118" s="271"/>
      <c r="B118" s="173"/>
      <c r="C118" s="173"/>
      <c r="D118" s="173" t="s">
        <v>711</v>
      </c>
      <c r="E118" s="256">
        <v>0.39800000000000002</v>
      </c>
      <c r="F118" s="257">
        <v>0.40100000000000002</v>
      </c>
      <c r="G118" s="258">
        <v>0.40100000000000002</v>
      </c>
      <c r="H118" s="305">
        <v>2018</v>
      </c>
      <c r="I118" s="248">
        <v>0.40100000000000002</v>
      </c>
      <c r="J118" s="248"/>
      <c r="K118" s="248"/>
      <c r="L118" s="248">
        <f>Table1[[#This Row],[Green target threshold]]+Table1[[#This Row],[Green target threshold]]*0.5</f>
        <v>0</v>
      </c>
      <c r="M118" s="248"/>
      <c r="N118" s="248"/>
      <c r="O118" s="248"/>
      <c r="P118" s="248"/>
      <c r="Q118" s="248"/>
      <c r="R118" s="248"/>
      <c r="S118" s="248">
        <f>Table1[[#This Row],[Red target threshold]]-Table1[[#This Row],[Red target threshold]]*0.5</f>
        <v>0</v>
      </c>
      <c r="T118" s="248"/>
      <c r="U118" s="278"/>
    </row>
    <row r="119" spans="1:21" hidden="1" x14ac:dyDescent="0.25">
      <c r="A119" s="271"/>
      <c r="B119" s="173"/>
      <c r="C119" s="173"/>
      <c r="D119" s="173" t="s">
        <v>718</v>
      </c>
      <c r="E119" s="256">
        <v>0.41799999999999998</v>
      </c>
      <c r="F119" s="257">
        <v>0.41399999999999998</v>
      </c>
      <c r="G119" s="258">
        <v>0.41299999999999998</v>
      </c>
      <c r="H119" s="305">
        <v>2018</v>
      </c>
      <c r="I119" s="248">
        <v>0.41299999999999998</v>
      </c>
      <c r="J119" s="248"/>
      <c r="K119" s="248"/>
      <c r="L119" s="248">
        <f>Table1[[#This Row],[Green target threshold]]+Table1[[#This Row],[Green target threshold]]*0.5</f>
        <v>0</v>
      </c>
      <c r="M119" s="248"/>
      <c r="N119" s="248"/>
      <c r="O119" s="248"/>
      <c r="P119" s="248"/>
      <c r="Q119" s="248"/>
      <c r="R119" s="248"/>
      <c r="S119" s="248">
        <f>Table1[[#This Row],[Red target threshold]]-Table1[[#This Row],[Red target threshold]]*0.5</f>
        <v>0</v>
      </c>
      <c r="T119" s="248"/>
      <c r="U119" s="278"/>
    </row>
    <row r="120" spans="1:21" hidden="1" x14ac:dyDescent="0.25">
      <c r="A120" s="271"/>
      <c r="B120" s="173"/>
      <c r="C120" s="173"/>
      <c r="D120" s="173" t="s">
        <v>722</v>
      </c>
      <c r="E120" s="256">
        <v>0.42699999999999999</v>
      </c>
      <c r="F120" s="257">
        <v>0.42099999999999999</v>
      </c>
      <c r="G120" s="258">
        <v>0.42299999999999999</v>
      </c>
      <c r="H120" s="305">
        <v>2018</v>
      </c>
      <c r="I120" s="248">
        <v>0.42299999999999999</v>
      </c>
      <c r="J120" s="248"/>
      <c r="K120" s="248"/>
      <c r="L120" s="248">
        <f>Table1[[#This Row],[Green target threshold]]+Table1[[#This Row],[Green target threshold]]*0.5</f>
        <v>0</v>
      </c>
      <c r="M120" s="248"/>
      <c r="N120" s="248"/>
      <c r="O120" s="248"/>
      <c r="P120" s="248"/>
      <c r="Q120" s="248"/>
      <c r="R120" s="248"/>
      <c r="S120" s="248">
        <f>Table1[[#This Row],[Red target threshold]]-Table1[[#This Row],[Red target threshold]]*0.5</f>
        <v>0</v>
      </c>
      <c r="T120" s="248"/>
      <c r="U120" s="278"/>
    </row>
    <row r="121" spans="1:21" hidden="1" x14ac:dyDescent="0.25">
      <c r="A121" s="271"/>
      <c r="B121" s="173"/>
      <c r="C121" s="173"/>
      <c r="D121" s="173" t="s">
        <v>710</v>
      </c>
      <c r="E121" s="256">
        <v>0.42</v>
      </c>
      <c r="F121" s="257">
        <v>0.42599999999999999</v>
      </c>
      <c r="G121" s="258">
        <v>0.42699999999999999</v>
      </c>
      <c r="H121" s="305">
        <v>2018</v>
      </c>
      <c r="I121" s="248">
        <v>0.42699999999999999</v>
      </c>
      <c r="J121" s="248"/>
      <c r="K121" s="248"/>
      <c r="L121" s="248">
        <f>Table1[[#This Row],[Green target threshold]]+Table1[[#This Row],[Green target threshold]]*0.5</f>
        <v>0</v>
      </c>
      <c r="M121" s="248"/>
      <c r="N121" s="248"/>
      <c r="O121" s="248"/>
      <c r="P121" s="248"/>
      <c r="Q121" s="248"/>
      <c r="R121" s="248"/>
      <c r="S121" s="248">
        <f>Table1[[#This Row],[Red target threshold]]-Table1[[#This Row],[Red target threshold]]*0.5</f>
        <v>0</v>
      </c>
      <c r="T121" s="248"/>
      <c r="U121" s="278"/>
    </row>
    <row r="122" spans="1:21" s="262" customFormat="1" hidden="1" x14ac:dyDescent="0.25">
      <c r="A122" s="293"/>
      <c r="B122" s="290"/>
      <c r="C122" s="290"/>
      <c r="D122" s="290"/>
      <c r="E122" s="291">
        <v>2016</v>
      </c>
      <c r="F122" s="291">
        <v>2017</v>
      </c>
      <c r="G122" s="291">
        <v>2018</v>
      </c>
      <c r="H122" s="291"/>
      <c r="I122" s="291"/>
      <c r="J122" s="291"/>
      <c r="K122" s="291"/>
      <c r="L122" s="291">
        <f>Table1[[#This Row],[Green target threshold]]+Table1[[#This Row],[Green target threshold]]*0.5</f>
        <v>0</v>
      </c>
      <c r="M122" s="291"/>
      <c r="N122" s="291"/>
      <c r="O122" s="291"/>
      <c r="P122" s="291"/>
      <c r="Q122" s="291"/>
      <c r="R122" s="291"/>
      <c r="S122" s="291">
        <f>Table1[[#This Row],[Red target threshold]]-Table1[[#This Row],[Red target threshold]]*0.5</f>
        <v>0</v>
      </c>
      <c r="T122" s="291"/>
      <c r="U122" s="297"/>
    </row>
    <row r="123" spans="1:21" hidden="1" x14ac:dyDescent="0.25">
      <c r="A123" s="302" t="s">
        <v>556</v>
      </c>
      <c r="B123" s="337" t="s">
        <v>552</v>
      </c>
      <c r="C123" s="337" t="s">
        <v>553</v>
      </c>
      <c r="D123" s="336" t="s">
        <v>904</v>
      </c>
      <c r="E123" s="304">
        <v>43.364129249999998</v>
      </c>
      <c r="F123" s="304">
        <v>42.457934940000001</v>
      </c>
      <c r="G123" s="304">
        <v>42.040219409999999</v>
      </c>
      <c r="H123" s="305">
        <v>2018</v>
      </c>
      <c r="I123" s="305">
        <v>42.040219409999999</v>
      </c>
      <c r="J123" s="305">
        <v>2015</v>
      </c>
      <c r="K123" s="295">
        <v>43.222799999999999</v>
      </c>
      <c r="L123" s="295">
        <f>Table1[[#This Row],[Green target threshold]]+Table1[[#This Row],[Green target threshold]]*0.5</f>
        <v>4.1328599999999991</v>
      </c>
      <c r="M123" s="305">
        <f>AVERAGE(G129:G133)</f>
        <v>2.7552399999999997</v>
      </c>
      <c r="N123" s="305"/>
      <c r="O123" s="305" t="s">
        <v>978</v>
      </c>
      <c r="P123" s="305">
        <f>(M123-K123)*0.5+K123</f>
        <v>22.98902</v>
      </c>
      <c r="Q123" s="305">
        <f>K123</f>
        <v>43.222799999999999</v>
      </c>
      <c r="R123" s="305">
        <f>K123</f>
        <v>43.222799999999999</v>
      </c>
      <c r="S123" s="305">
        <f>Table1[[#This Row],[Red target threshold]]+Table1[[#This Row],[Red target threshold]]*0.5</f>
        <v>64.834199999999996</v>
      </c>
      <c r="T123" s="305"/>
      <c r="U123" s="303" t="s">
        <v>707</v>
      </c>
    </row>
    <row r="124" spans="1:21" hidden="1" x14ac:dyDescent="0.25">
      <c r="A124" s="271"/>
      <c r="B124" s="173"/>
      <c r="C124" s="173"/>
      <c r="D124" s="173" t="s">
        <v>676</v>
      </c>
      <c r="E124" s="253">
        <v>189.37899999999999</v>
      </c>
      <c r="F124" s="254">
        <v>186.53800000000001</v>
      </c>
      <c r="G124" s="255">
        <v>183.51339999999999</v>
      </c>
      <c r="H124" s="305">
        <v>2018</v>
      </c>
      <c r="I124" s="248">
        <v>183.51339999999999</v>
      </c>
      <c r="J124" s="248"/>
      <c r="K124" s="248"/>
      <c r="L124" s="248">
        <f>Table1[[#This Row],[Green target threshold]]+Table1[[#This Row],[Green target threshold]]*0.5</f>
        <v>0</v>
      </c>
      <c r="M124" s="248"/>
      <c r="N124" s="248"/>
      <c r="O124" s="248"/>
      <c r="P124" s="248"/>
      <c r="Q124" s="248"/>
      <c r="R124" s="248"/>
      <c r="S124" s="248">
        <f>Table1[[#This Row],[Red target threshold]]-Table1[[#This Row],[Red target threshold]]*0.5</f>
        <v>0</v>
      </c>
      <c r="T124" s="248"/>
      <c r="U124" s="278"/>
    </row>
    <row r="125" spans="1:21" hidden="1" x14ac:dyDescent="0.25">
      <c r="A125" s="271"/>
      <c r="B125" s="173"/>
      <c r="C125" s="173"/>
      <c r="D125" s="173" t="s">
        <v>710</v>
      </c>
      <c r="E125" s="253">
        <v>171.08260000000001</v>
      </c>
      <c r="F125" s="254">
        <v>169.12700000000001</v>
      </c>
      <c r="G125" s="255">
        <v>166.86680000000001</v>
      </c>
      <c r="H125" s="305">
        <v>2018</v>
      </c>
      <c r="I125" s="248">
        <v>166.86680000000001</v>
      </c>
      <c r="J125" s="248"/>
      <c r="K125" s="248"/>
      <c r="L125" s="248">
        <f>Table1[[#This Row],[Green target threshold]]+Table1[[#This Row],[Green target threshold]]*0.5</f>
        <v>0</v>
      </c>
      <c r="M125" s="248"/>
      <c r="N125" s="248"/>
      <c r="O125" s="248"/>
      <c r="P125" s="248"/>
      <c r="Q125" s="248"/>
      <c r="R125" s="248"/>
      <c r="S125" s="248">
        <f>Table1[[#This Row],[Red target threshold]]-Table1[[#This Row],[Red target threshold]]*0.5</f>
        <v>0</v>
      </c>
      <c r="T125" s="248"/>
      <c r="U125" s="278"/>
    </row>
    <row r="126" spans="1:21" hidden="1" x14ac:dyDescent="0.25">
      <c r="A126" s="271"/>
      <c r="B126" s="173"/>
      <c r="C126" s="173"/>
      <c r="D126" s="173" t="s">
        <v>711</v>
      </c>
      <c r="E126" s="253">
        <v>164.51599999999999</v>
      </c>
      <c r="F126" s="254">
        <v>161.09</v>
      </c>
      <c r="G126" s="255">
        <v>157.9144</v>
      </c>
      <c r="H126" s="305">
        <v>2018</v>
      </c>
      <c r="I126" s="248">
        <v>157.9144</v>
      </c>
      <c r="J126" s="248"/>
      <c r="K126" s="248"/>
      <c r="L126" s="248">
        <f>Table1[[#This Row],[Green target threshold]]+Table1[[#This Row],[Green target threshold]]*0.5</f>
        <v>0</v>
      </c>
      <c r="M126" s="248"/>
      <c r="N126" s="248"/>
      <c r="O126" s="248"/>
      <c r="P126" s="248"/>
      <c r="Q126" s="248"/>
      <c r="R126" s="248"/>
      <c r="S126" s="248">
        <f>Table1[[#This Row],[Red target threshold]]-Table1[[#This Row],[Red target threshold]]*0.5</f>
        <v>0</v>
      </c>
      <c r="T126" s="248"/>
      <c r="U126" s="278"/>
    </row>
    <row r="127" spans="1:21" hidden="1" x14ac:dyDescent="0.25">
      <c r="A127" s="271"/>
      <c r="B127" s="173"/>
      <c r="C127" s="173"/>
      <c r="D127" s="173" t="s">
        <v>712</v>
      </c>
      <c r="E127" s="253">
        <v>150.72980000000001</v>
      </c>
      <c r="F127" s="254">
        <v>148.626</v>
      </c>
      <c r="G127" s="255">
        <v>146.2508</v>
      </c>
      <c r="H127" s="305">
        <v>2018</v>
      </c>
      <c r="I127" s="248">
        <v>146.2508</v>
      </c>
      <c r="J127" s="248"/>
      <c r="K127" s="248"/>
      <c r="L127" s="248">
        <f>Table1[[#This Row],[Green target threshold]]+Table1[[#This Row],[Green target threshold]]*0.5</f>
        <v>0</v>
      </c>
      <c r="M127" s="248"/>
      <c r="N127" s="248"/>
      <c r="O127" s="248"/>
      <c r="P127" s="248"/>
      <c r="Q127" s="248"/>
      <c r="R127" s="248"/>
      <c r="S127" s="248">
        <f>Table1[[#This Row],[Red target threshold]]-Table1[[#This Row],[Red target threshold]]*0.5</f>
        <v>0</v>
      </c>
      <c r="T127" s="248"/>
      <c r="U127" s="278"/>
    </row>
    <row r="128" spans="1:21" hidden="1" x14ac:dyDescent="0.25">
      <c r="A128" s="271"/>
      <c r="B128" s="173"/>
      <c r="C128" s="173"/>
      <c r="D128" s="173" t="s">
        <v>713</v>
      </c>
      <c r="E128" s="253">
        <v>136.578</v>
      </c>
      <c r="F128" s="254">
        <v>135.96199999999999</v>
      </c>
      <c r="G128" s="255">
        <v>135.56620000000001</v>
      </c>
      <c r="H128" s="305">
        <v>2018</v>
      </c>
      <c r="I128" s="248">
        <v>135.56620000000001</v>
      </c>
      <c r="J128" s="248"/>
      <c r="K128" s="248"/>
      <c r="L128" s="248">
        <f>Table1[[#This Row],[Green target threshold]]+Table1[[#This Row],[Green target threshold]]*0.5</f>
        <v>0</v>
      </c>
      <c r="M128" s="248"/>
      <c r="N128" s="248"/>
      <c r="O128" s="248"/>
      <c r="P128" s="248"/>
      <c r="Q128" s="248"/>
      <c r="R128" s="248"/>
      <c r="S128" s="248">
        <f>Table1[[#This Row],[Red target threshold]]-Table1[[#This Row],[Red target threshold]]*0.5</f>
        <v>0</v>
      </c>
      <c r="T128" s="248"/>
      <c r="U128" s="278"/>
    </row>
    <row r="129" spans="1:21" hidden="1" x14ac:dyDescent="0.25">
      <c r="A129" s="271"/>
      <c r="B129" s="173"/>
      <c r="C129" s="173"/>
      <c r="D129" s="173" t="s">
        <v>696</v>
      </c>
      <c r="E129" s="256">
        <v>1.4563999999999999</v>
      </c>
      <c r="F129" s="257">
        <v>1.379</v>
      </c>
      <c r="G129" s="258">
        <v>1.3204</v>
      </c>
      <c r="H129" s="305">
        <v>2018</v>
      </c>
      <c r="I129" s="248">
        <v>1.3204</v>
      </c>
      <c r="J129" s="248"/>
      <c r="K129" s="248"/>
      <c r="L129" s="248">
        <f>Table1[[#This Row],[Green target threshold]]+Table1[[#This Row],[Green target threshold]]*0.5</f>
        <v>0</v>
      </c>
      <c r="M129" s="248"/>
      <c r="N129" s="248"/>
      <c r="O129" s="248"/>
      <c r="P129" s="248"/>
      <c r="Q129" s="248"/>
      <c r="R129" s="248"/>
      <c r="S129" s="248">
        <f>Table1[[#This Row],[Red target threshold]]-Table1[[#This Row],[Red target threshold]]*0.5</f>
        <v>0</v>
      </c>
      <c r="T129" s="248"/>
      <c r="U129" s="278"/>
    </row>
    <row r="130" spans="1:21" hidden="1" x14ac:dyDescent="0.25">
      <c r="A130" s="271"/>
      <c r="B130" s="173"/>
      <c r="C130" s="173"/>
      <c r="D130" s="173" t="s">
        <v>700</v>
      </c>
      <c r="E130" s="256">
        <v>2.911</v>
      </c>
      <c r="F130" s="257">
        <v>2.7629999999999999</v>
      </c>
      <c r="G130" s="258">
        <v>2.6438000000000001</v>
      </c>
      <c r="H130" s="305">
        <v>2018</v>
      </c>
      <c r="I130" s="248">
        <v>2.6438000000000001</v>
      </c>
      <c r="J130" s="248"/>
      <c r="K130" s="248"/>
      <c r="L130" s="248">
        <f>Table1[[#This Row],[Green target threshold]]+Table1[[#This Row],[Green target threshold]]*0.5</f>
        <v>0</v>
      </c>
      <c r="M130" s="248"/>
      <c r="N130" s="248"/>
      <c r="O130" s="248"/>
      <c r="P130" s="248"/>
      <c r="Q130" s="248"/>
      <c r="R130" s="248"/>
      <c r="S130" s="248">
        <f>Table1[[#This Row],[Red target threshold]]-Table1[[#This Row],[Red target threshold]]*0.5</f>
        <v>0</v>
      </c>
      <c r="T130" s="248"/>
      <c r="U130" s="278"/>
    </row>
    <row r="131" spans="1:21" hidden="1" x14ac:dyDescent="0.25">
      <c r="A131" s="271"/>
      <c r="B131" s="173"/>
      <c r="C131" s="173"/>
      <c r="D131" s="173" t="s">
        <v>708</v>
      </c>
      <c r="E131" s="256">
        <v>2.7682000000000002</v>
      </c>
      <c r="F131" s="257">
        <v>2.7050000000000001</v>
      </c>
      <c r="G131" s="258">
        <v>2.6461999999999999</v>
      </c>
      <c r="H131" s="305">
        <v>2018</v>
      </c>
      <c r="I131" s="248">
        <v>2.6461999999999999</v>
      </c>
      <c r="J131" s="248"/>
      <c r="K131" s="248"/>
      <c r="L131" s="248">
        <f>Table1[[#This Row],[Green target threshold]]+Table1[[#This Row],[Green target threshold]]*0.5</f>
        <v>0</v>
      </c>
      <c r="M131" s="248"/>
      <c r="N131" s="248"/>
      <c r="O131" s="248"/>
      <c r="P131" s="248"/>
      <c r="Q131" s="248"/>
      <c r="R131" s="248"/>
      <c r="S131" s="248">
        <f>Table1[[#This Row],[Red target threshold]]-Table1[[#This Row],[Red target threshold]]*0.5</f>
        <v>0</v>
      </c>
      <c r="T131" s="248"/>
      <c r="U131" s="278"/>
    </row>
    <row r="132" spans="1:21" hidden="1" x14ac:dyDescent="0.25">
      <c r="A132" s="271"/>
      <c r="B132" s="173"/>
      <c r="C132" s="173"/>
      <c r="D132" s="173" t="s">
        <v>702</v>
      </c>
      <c r="E132" s="256">
        <v>3.6057999999999999</v>
      </c>
      <c r="F132" s="257">
        <v>3.53</v>
      </c>
      <c r="G132" s="258">
        <v>3.5133999999999999</v>
      </c>
      <c r="H132" s="305">
        <v>2018</v>
      </c>
      <c r="I132" s="248">
        <v>3.5133999999999999</v>
      </c>
      <c r="J132" s="248"/>
      <c r="K132" s="248"/>
      <c r="L132" s="248">
        <f>Table1[[#This Row],[Green target threshold]]+Table1[[#This Row],[Green target threshold]]*0.5</f>
        <v>0</v>
      </c>
      <c r="M132" s="248"/>
      <c r="N132" s="248"/>
      <c r="O132" s="248"/>
      <c r="P132" s="248"/>
      <c r="Q132" s="248"/>
      <c r="R132" s="248"/>
      <c r="S132" s="248">
        <f>Table1[[#This Row],[Red target threshold]]-Table1[[#This Row],[Red target threshold]]*0.5</f>
        <v>0</v>
      </c>
      <c r="T132" s="248"/>
      <c r="U132" s="278"/>
    </row>
    <row r="133" spans="1:21" hidden="1" x14ac:dyDescent="0.25">
      <c r="A133" s="271"/>
      <c r="B133" s="173"/>
      <c r="C133" s="173"/>
      <c r="D133" s="173" t="s">
        <v>709</v>
      </c>
      <c r="E133" s="256">
        <v>3.9668000000000001</v>
      </c>
      <c r="F133" s="257">
        <v>3.7759999999999998</v>
      </c>
      <c r="G133" s="258">
        <v>3.6524000000000001</v>
      </c>
      <c r="H133" s="305">
        <v>2018</v>
      </c>
      <c r="I133" s="248">
        <v>3.6524000000000001</v>
      </c>
      <c r="J133" s="248"/>
      <c r="K133" s="248"/>
      <c r="L133" s="248">
        <f>Table1[[#This Row],[Green target threshold]]+Table1[[#This Row],[Green target threshold]]*0.5</f>
        <v>0</v>
      </c>
      <c r="M133" s="248"/>
      <c r="N133" s="248"/>
      <c r="O133" s="248"/>
      <c r="P133" s="248"/>
      <c r="Q133" s="248"/>
      <c r="R133" s="248"/>
      <c r="S133" s="248">
        <f>Table1[[#This Row],[Red target threshold]]-Table1[[#This Row],[Red target threshold]]*0.5</f>
        <v>0</v>
      </c>
      <c r="T133" s="248"/>
      <c r="U133" s="278"/>
    </row>
    <row r="134" spans="1:21" s="268" customFormat="1" hidden="1" x14ac:dyDescent="0.25">
      <c r="A134" s="294"/>
      <c r="B134" s="299"/>
      <c r="C134" s="299"/>
      <c r="D134" s="299"/>
      <c r="E134" s="301">
        <v>2015</v>
      </c>
      <c r="F134" s="301">
        <v>2016</v>
      </c>
      <c r="G134" s="301">
        <v>2017</v>
      </c>
      <c r="H134" s="301"/>
      <c r="I134" s="301"/>
      <c r="J134" s="301"/>
      <c r="K134" s="301"/>
      <c r="L134" s="301">
        <f>Table1[[#This Row],[Green target threshold]]+Table1[[#This Row],[Green target threshold]]*0.5</f>
        <v>0</v>
      </c>
      <c r="M134" s="301"/>
      <c r="N134" s="301"/>
      <c r="O134" s="301"/>
      <c r="P134" s="301"/>
      <c r="Q134" s="301"/>
      <c r="R134" s="301"/>
      <c r="S134" s="301">
        <f>Table1[[#This Row],[Red target threshold]]-Table1[[#This Row],[Red target threshold]]*0.5</f>
        <v>0</v>
      </c>
      <c r="T134" s="301"/>
      <c r="U134" s="296"/>
    </row>
    <row r="135" spans="1:21" s="33" customFormat="1" hidden="1" x14ac:dyDescent="0.25">
      <c r="A135" s="327" t="s">
        <v>946</v>
      </c>
      <c r="B135" s="338" t="s">
        <v>147</v>
      </c>
      <c r="C135" s="338" t="s">
        <v>973</v>
      </c>
      <c r="D135" s="336" t="s">
        <v>904</v>
      </c>
      <c r="E135" s="304">
        <v>7379.7971390000002</v>
      </c>
      <c r="F135" s="304">
        <v>7464.0220489999992</v>
      </c>
      <c r="G135" s="304">
        <v>7547.8589249999995</v>
      </c>
      <c r="H135" s="305">
        <v>2017</v>
      </c>
      <c r="I135" s="328">
        <v>7547.8589249999995</v>
      </c>
      <c r="J135" s="328">
        <v>2015</v>
      </c>
      <c r="K135" s="328">
        <v>6840.91</v>
      </c>
      <c r="L135" s="328">
        <f>Table1[[#This Row],[Green target threshold]]-Table1[[#This Row],[Green target threshold]]*0.5</f>
        <v>4030.9690000000001</v>
      </c>
      <c r="M135" s="328">
        <v>8061.9380000000001</v>
      </c>
      <c r="N135" s="328">
        <v>0.1</v>
      </c>
      <c r="O135" s="328" t="s">
        <v>985</v>
      </c>
      <c r="P135" s="328">
        <v>8258.5650000000005</v>
      </c>
      <c r="Q135" s="328">
        <v>8514.3070000000007</v>
      </c>
      <c r="R135" s="328">
        <v>8514.3070000000007</v>
      </c>
      <c r="S135" s="328">
        <f>Table1[[#This Row],[Red target threshold]]+Table1[[#This Row],[Red target threshold]]*0.5</f>
        <v>12771.460500000001</v>
      </c>
      <c r="T135" s="328" t="s">
        <v>1125</v>
      </c>
      <c r="U135" s="303" t="s">
        <v>1121</v>
      </c>
    </row>
    <row r="136" spans="1:21" s="33" customFormat="1" hidden="1" x14ac:dyDescent="0.25">
      <c r="A136" s="270"/>
      <c r="B136" s="197"/>
      <c r="C136" s="197"/>
      <c r="D136" s="197"/>
      <c r="E136" s="253"/>
      <c r="F136" s="254"/>
      <c r="G136" s="255"/>
      <c r="H136" s="305"/>
      <c r="I136" s="248"/>
      <c r="J136" s="248"/>
      <c r="K136" s="248"/>
      <c r="L136" s="248">
        <f>Table1[[#This Row],[Green target threshold]]+Table1[[#This Row],[Green target threshold]]*0.5</f>
        <v>0</v>
      </c>
      <c r="M136" s="248"/>
      <c r="N136" s="248"/>
      <c r="O136" s="248"/>
      <c r="P136" s="248"/>
      <c r="Q136" s="248"/>
      <c r="R136" s="248"/>
      <c r="S136" s="248">
        <f>Table1[[#This Row],[Red target threshold]]-Table1[[#This Row],[Red target threshold]]*0.5</f>
        <v>0</v>
      </c>
      <c r="T136" s="248"/>
      <c r="U136" s="281"/>
    </row>
    <row r="137" spans="1:21" s="33" customFormat="1" hidden="1" x14ac:dyDescent="0.25">
      <c r="A137" s="270"/>
      <c r="B137" s="197"/>
      <c r="C137" s="197"/>
      <c r="D137" s="197"/>
      <c r="E137" s="253"/>
      <c r="F137" s="254"/>
      <c r="G137" s="255"/>
      <c r="H137" s="305"/>
      <c r="I137" s="248"/>
      <c r="J137" s="248"/>
      <c r="K137" s="248"/>
      <c r="L137" s="248">
        <f>Table1[[#This Row],[Green target threshold]]+Table1[[#This Row],[Green target threshold]]*0.5</f>
        <v>0</v>
      </c>
      <c r="M137" s="248"/>
      <c r="N137" s="248"/>
      <c r="O137" s="248"/>
      <c r="P137" s="248"/>
      <c r="Q137" s="248"/>
      <c r="R137" s="248"/>
      <c r="S137" s="248">
        <f>Table1[[#This Row],[Red target threshold]]-Table1[[#This Row],[Red target threshold]]*0.5</f>
        <v>0</v>
      </c>
      <c r="T137" s="248"/>
      <c r="U137" s="281"/>
    </row>
    <row r="138" spans="1:21" s="33" customFormat="1" hidden="1" x14ac:dyDescent="0.25">
      <c r="A138" s="270"/>
      <c r="B138" s="197"/>
      <c r="C138" s="197"/>
      <c r="D138" s="197"/>
      <c r="E138" s="253"/>
      <c r="F138" s="254"/>
      <c r="G138" s="255"/>
      <c r="H138" s="305"/>
      <c r="I138" s="248"/>
      <c r="J138" s="248"/>
      <c r="K138" s="248"/>
      <c r="L138" s="248">
        <f>Table1[[#This Row],[Green target threshold]]+Table1[[#This Row],[Green target threshold]]*0.5</f>
        <v>0</v>
      </c>
      <c r="M138" s="248"/>
      <c r="N138" s="248"/>
      <c r="O138" s="248"/>
      <c r="P138" s="248"/>
      <c r="Q138" s="248"/>
      <c r="R138" s="248"/>
      <c r="S138" s="248">
        <f>Table1[[#This Row],[Red target threshold]]-Table1[[#This Row],[Red target threshold]]*0.5</f>
        <v>0</v>
      </c>
      <c r="T138" s="248"/>
      <c r="U138" s="281"/>
    </row>
    <row r="139" spans="1:21" s="33" customFormat="1" hidden="1" x14ac:dyDescent="0.25">
      <c r="A139" s="270"/>
      <c r="B139" s="197"/>
      <c r="C139" s="197"/>
      <c r="D139" s="197"/>
      <c r="E139" s="253"/>
      <c r="F139" s="254"/>
      <c r="G139" s="255"/>
      <c r="H139" s="305"/>
      <c r="I139" s="248"/>
      <c r="J139" s="248"/>
      <c r="K139" s="248"/>
      <c r="L139" s="329">
        <f>Table1[[#This Row],[Green target threshold]]+Table1[[#This Row],[Green target threshold]]*0.5</f>
        <v>0</v>
      </c>
      <c r="M139" s="248"/>
      <c r="N139" s="248"/>
      <c r="O139" s="248"/>
      <c r="P139" s="329"/>
      <c r="Q139" s="329"/>
      <c r="R139" s="329"/>
      <c r="S139" s="329">
        <f>Table1[[#This Row],[Red target threshold]]-Table1[[#This Row],[Red target threshold]]*0.5</f>
        <v>0</v>
      </c>
      <c r="T139" s="248"/>
      <c r="U139" s="281"/>
    </row>
    <row r="140" spans="1:21" s="33" customFormat="1" hidden="1" x14ac:dyDescent="0.25">
      <c r="A140" s="270"/>
      <c r="B140" s="197"/>
      <c r="C140" s="197"/>
      <c r="D140" s="197"/>
      <c r="E140" s="253"/>
      <c r="F140" s="254"/>
      <c r="G140" s="255"/>
      <c r="H140" s="305"/>
      <c r="I140" s="248"/>
      <c r="J140" s="248"/>
      <c r="K140" s="248"/>
      <c r="L140" s="329">
        <f>Table1[[#This Row],[Green target threshold]]+Table1[[#This Row],[Green target threshold]]*0.5</f>
        <v>0</v>
      </c>
      <c r="M140" s="248"/>
      <c r="N140" s="248"/>
      <c r="O140" s="248"/>
      <c r="P140" s="329"/>
      <c r="Q140" s="329"/>
      <c r="R140" s="329"/>
      <c r="S140" s="329">
        <f>Table1[[#This Row],[Red target threshold]]-Table1[[#This Row],[Red target threshold]]*0.5</f>
        <v>0</v>
      </c>
      <c r="T140" s="248"/>
      <c r="U140" s="281"/>
    </row>
    <row r="141" spans="1:21" s="33" customFormat="1" hidden="1" x14ac:dyDescent="0.25">
      <c r="A141" s="270"/>
      <c r="B141" s="197"/>
      <c r="C141" s="197"/>
      <c r="D141" s="197"/>
      <c r="E141" s="256"/>
      <c r="F141" s="257"/>
      <c r="G141" s="258"/>
      <c r="H141" s="305"/>
      <c r="I141" s="248"/>
      <c r="J141" s="248"/>
      <c r="K141" s="248"/>
      <c r="L141" s="248">
        <f>Table1[[#This Row],[Green target threshold]]+Table1[[#This Row],[Green target threshold]]*0.5</f>
        <v>0</v>
      </c>
      <c r="M141" s="248"/>
      <c r="N141" s="248"/>
      <c r="O141" s="248"/>
      <c r="P141" s="248"/>
      <c r="Q141" s="248"/>
      <c r="R141" s="248"/>
      <c r="S141" s="248">
        <f>Table1[[#This Row],[Red target threshold]]-Table1[[#This Row],[Red target threshold]]*0.5</f>
        <v>0</v>
      </c>
      <c r="T141" s="248"/>
      <c r="U141" s="281"/>
    </row>
    <row r="142" spans="1:21" s="33" customFormat="1" hidden="1" x14ac:dyDescent="0.25">
      <c r="A142" s="270"/>
      <c r="B142" s="197"/>
      <c r="C142" s="197"/>
      <c r="D142" s="197"/>
      <c r="E142" s="256"/>
      <c r="F142" s="257"/>
      <c r="G142" s="258"/>
      <c r="H142" s="305"/>
      <c r="I142" s="248"/>
      <c r="J142" s="248"/>
      <c r="K142" s="248"/>
      <c r="L142" s="248">
        <f>Table1[[#This Row],[Green target threshold]]+Table1[[#This Row],[Green target threshold]]*0.5</f>
        <v>0</v>
      </c>
      <c r="M142" s="248"/>
      <c r="N142" s="248"/>
      <c r="O142" s="248"/>
      <c r="P142" s="248"/>
      <c r="Q142" s="248"/>
      <c r="R142" s="248"/>
      <c r="S142" s="248">
        <f>Table1[[#This Row],[Red target threshold]]-Table1[[#This Row],[Red target threshold]]*0.5</f>
        <v>0</v>
      </c>
      <c r="T142" s="248"/>
      <c r="U142" s="281"/>
    </row>
    <row r="143" spans="1:21" s="33" customFormat="1" hidden="1" x14ac:dyDescent="0.25">
      <c r="A143" s="270"/>
      <c r="B143" s="197"/>
      <c r="C143" s="197"/>
      <c r="D143" s="197"/>
      <c r="E143" s="256"/>
      <c r="F143" s="257"/>
      <c r="G143" s="258"/>
      <c r="H143" s="305"/>
      <c r="I143" s="248"/>
      <c r="J143" s="248"/>
      <c r="K143" s="248"/>
      <c r="L143" s="329">
        <f>Table1[[#This Row],[Green target threshold]]+Table1[[#This Row],[Green target threshold]]*0.5</f>
        <v>0</v>
      </c>
      <c r="M143" s="248"/>
      <c r="N143" s="248"/>
      <c r="O143" s="248"/>
      <c r="P143" s="329"/>
      <c r="Q143" s="329"/>
      <c r="R143" s="329"/>
      <c r="S143" s="329">
        <f>Table1[[#This Row],[Red target threshold]]-Table1[[#This Row],[Red target threshold]]*0.5</f>
        <v>0</v>
      </c>
      <c r="T143" s="248"/>
      <c r="U143" s="281"/>
    </row>
    <row r="144" spans="1:21" s="33" customFormat="1" hidden="1" x14ac:dyDescent="0.25">
      <c r="A144" s="270"/>
      <c r="B144" s="197"/>
      <c r="C144" s="197"/>
      <c r="D144" s="197"/>
      <c r="E144" s="256"/>
      <c r="F144" s="257"/>
      <c r="G144" s="258"/>
      <c r="H144" s="305"/>
      <c r="I144" s="248"/>
      <c r="J144" s="248"/>
      <c r="K144" s="248"/>
      <c r="L144" s="329">
        <f>Table1[[#This Row],[Green target threshold]]+Table1[[#This Row],[Green target threshold]]*0.5</f>
        <v>0</v>
      </c>
      <c r="M144" s="248"/>
      <c r="N144" s="248"/>
      <c r="O144" s="248"/>
      <c r="P144" s="329"/>
      <c r="Q144" s="329"/>
      <c r="R144" s="329"/>
      <c r="S144" s="329">
        <f>Table1[[#This Row],[Red target threshold]]-Table1[[#This Row],[Red target threshold]]*0.5</f>
        <v>0</v>
      </c>
      <c r="T144" s="248"/>
      <c r="U144" s="281"/>
    </row>
    <row r="145" spans="1:21" s="33" customFormat="1" hidden="1" x14ac:dyDescent="0.25">
      <c r="A145" s="270"/>
      <c r="B145" s="197"/>
      <c r="C145" s="197"/>
      <c r="D145" s="197"/>
      <c r="E145" s="256"/>
      <c r="F145" s="257"/>
      <c r="G145" s="258"/>
      <c r="H145" s="305"/>
      <c r="I145" s="248"/>
      <c r="J145" s="248"/>
      <c r="K145" s="248"/>
      <c r="L145" s="329">
        <f>Table1[[#This Row],[Green target threshold]]+Table1[[#This Row],[Green target threshold]]*0.5</f>
        <v>0</v>
      </c>
      <c r="M145" s="248"/>
      <c r="N145" s="248"/>
      <c r="O145" s="248"/>
      <c r="P145" s="329"/>
      <c r="Q145" s="329"/>
      <c r="R145" s="329"/>
      <c r="S145" s="329">
        <f>Table1[[#This Row],[Red target threshold]]-Table1[[#This Row],[Red target threshold]]*0.5</f>
        <v>0</v>
      </c>
      <c r="T145" s="248"/>
      <c r="U145" s="281"/>
    </row>
    <row r="146" spans="1:21" s="262" customFormat="1" hidden="1" x14ac:dyDescent="0.25">
      <c r="A146" s="293"/>
      <c r="B146" s="290"/>
      <c r="C146" s="290"/>
      <c r="D146" s="290"/>
      <c r="E146" s="291">
        <v>2015</v>
      </c>
      <c r="F146" s="291">
        <v>2016</v>
      </c>
      <c r="G146" s="291">
        <v>2017</v>
      </c>
      <c r="H146" s="291"/>
      <c r="I146" s="291"/>
      <c r="J146" s="291"/>
      <c r="K146" s="291"/>
      <c r="L146" s="291">
        <f>Table1[[#This Row],[Green target threshold]]+Table1[[#This Row],[Green target threshold]]*0.5</f>
        <v>0</v>
      </c>
      <c r="M146" s="291"/>
      <c r="N146" s="291"/>
      <c r="O146" s="291"/>
      <c r="P146" s="291"/>
      <c r="Q146" s="291"/>
      <c r="R146" s="291"/>
      <c r="S146" s="291">
        <f>Table1[[#This Row],[Red target threshold]]-Table1[[#This Row],[Red target threshold]]*0.5</f>
        <v>0</v>
      </c>
      <c r="T146" s="291"/>
      <c r="U146" s="297"/>
    </row>
    <row r="147" spans="1:21" hidden="1" x14ac:dyDescent="0.25">
      <c r="A147" s="302" t="s">
        <v>558</v>
      </c>
      <c r="B147" s="337" t="s">
        <v>921</v>
      </c>
      <c r="C147" s="337" t="s">
        <v>473</v>
      </c>
      <c r="D147" s="336" t="s">
        <v>904</v>
      </c>
      <c r="E147" s="304">
        <v>63.486190000000001</v>
      </c>
      <c r="F147" s="304">
        <v>64.265510000000006</v>
      </c>
      <c r="G147" s="304">
        <v>64.54907</v>
      </c>
      <c r="H147" s="305">
        <v>2017</v>
      </c>
      <c r="I147" s="305">
        <v>64.54907</v>
      </c>
      <c r="J147" s="305">
        <v>2015</v>
      </c>
      <c r="K147" s="295">
        <v>63.665700000000001</v>
      </c>
      <c r="L147" s="295">
        <v>100</v>
      </c>
      <c r="M147" s="305">
        <v>100</v>
      </c>
      <c r="N147" s="305"/>
      <c r="O147" s="305" t="s">
        <v>982</v>
      </c>
      <c r="P147" s="305">
        <f>(M147-K147)*0.5+K147</f>
        <v>81.832850000000008</v>
      </c>
      <c r="Q147" s="305">
        <f>K147</f>
        <v>63.665700000000001</v>
      </c>
      <c r="R147" s="305">
        <f>K147</f>
        <v>63.665700000000001</v>
      </c>
      <c r="S147" s="305">
        <f>Table1[[#This Row],[Red target threshold]]-Table1[[#This Row],[Red target threshold]]*0.5</f>
        <v>31.832850000000001</v>
      </c>
      <c r="T147" s="305" t="s">
        <v>1034</v>
      </c>
      <c r="U147" s="303" t="s">
        <v>783</v>
      </c>
    </row>
    <row r="148" spans="1:21" hidden="1" x14ac:dyDescent="0.25">
      <c r="A148" s="271"/>
      <c r="B148" s="173"/>
      <c r="C148" s="173"/>
      <c r="D148" s="173" t="s">
        <v>680</v>
      </c>
      <c r="E148" s="253">
        <v>99.183350000000004</v>
      </c>
      <c r="F148" s="254">
        <v>99.870239999999995</v>
      </c>
      <c r="G148" s="255">
        <v>99.935559999999995</v>
      </c>
      <c r="H148" s="305">
        <v>2017</v>
      </c>
      <c r="I148" s="248">
        <v>99.935559999999995</v>
      </c>
      <c r="J148" s="248"/>
      <c r="K148" s="248"/>
      <c r="L148" s="248">
        <f>Table1[[#This Row],[Green target threshold]]+Table1[[#This Row],[Green target threshold]]*0.5</f>
        <v>0</v>
      </c>
      <c r="M148" s="248"/>
      <c r="N148" s="248"/>
      <c r="O148" s="248"/>
      <c r="P148" s="248"/>
      <c r="Q148" s="248"/>
      <c r="R148" s="248"/>
      <c r="S148" s="248">
        <f>Table1[[#This Row],[Red target threshold]]-Table1[[#This Row],[Red target threshold]]*0.5</f>
        <v>0</v>
      </c>
      <c r="T148" s="248"/>
      <c r="U148" s="278"/>
    </row>
    <row r="149" spans="1:21" hidden="1" x14ac:dyDescent="0.25">
      <c r="A149" s="271"/>
      <c r="B149" s="173"/>
      <c r="C149" s="173"/>
      <c r="D149" s="173" t="s">
        <v>702</v>
      </c>
      <c r="E149" s="253"/>
      <c r="F149" s="254">
        <v>99.869010000000003</v>
      </c>
      <c r="G149" s="255">
        <v>99.91046</v>
      </c>
      <c r="H149" s="305">
        <v>2017</v>
      </c>
      <c r="I149" s="248">
        <v>99.91046</v>
      </c>
      <c r="J149" s="248"/>
      <c r="K149" s="248"/>
      <c r="L149" s="248">
        <f>Table1[[#This Row],[Green target threshold]]+Table1[[#This Row],[Green target threshold]]*0.5</f>
        <v>0</v>
      </c>
      <c r="M149" s="248"/>
      <c r="N149" s="248"/>
      <c r="O149" s="248"/>
      <c r="P149" s="248"/>
      <c r="Q149" s="248"/>
      <c r="R149" s="248"/>
      <c r="S149" s="248">
        <f>Table1[[#This Row],[Red target threshold]]-Table1[[#This Row],[Red target threshold]]*0.5</f>
        <v>0</v>
      </c>
      <c r="T149" s="248"/>
      <c r="U149" s="278"/>
    </row>
    <row r="150" spans="1:21" hidden="1" x14ac:dyDescent="0.25">
      <c r="A150" s="271"/>
      <c r="B150" s="173"/>
      <c r="C150" s="173"/>
      <c r="D150" s="173" t="s">
        <v>779</v>
      </c>
      <c r="E150" s="253">
        <v>97.48818</v>
      </c>
      <c r="F150" s="254">
        <v>99.592320000000001</v>
      </c>
      <c r="G150" s="255">
        <v>99.706770000000006</v>
      </c>
      <c r="H150" s="305">
        <v>2017</v>
      </c>
      <c r="I150" s="248">
        <v>99.706770000000006</v>
      </c>
      <c r="J150" s="248"/>
      <c r="K150" s="248"/>
      <c r="L150" s="248">
        <f>Table1[[#This Row],[Green target threshold]]+Table1[[#This Row],[Green target threshold]]*0.5</f>
        <v>0</v>
      </c>
      <c r="M150" s="248"/>
      <c r="N150" s="248"/>
      <c r="O150" s="248"/>
      <c r="P150" s="248"/>
      <c r="Q150" s="248"/>
      <c r="R150" s="248"/>
      <c r="S150" s="248">
        <f>Table1[[#This Row],[Red target threshold]]-Table1[[#This Row],[Red target threshold]]*0.5</f>
        <v>0</v>
      </c>
      <c r="T150" s="248"/>
      <c r="U150" s="278"/>
    </row>
    <row r="151" spans="1:21" hidden="1" x14ac:dyDescent="0.25">
      <c r="A151" s="271"/>
      <c r="B151" s="173"/>
      <c r="C151" s="173"/>
      <c r="D151" s="173" t="s">
        <v>681</v>
      </c>
      <c r="E151" s="253">
        <v>99.114189999999994</v>
      </c>
      <c r="F151" s="254">
        <v>99.505989999999997</v>
      </c>
      <c r="G151" s="255">
        <v>99.367270000000005</v>
      </c>
      <c r="H151" s="305">
        <v>2017</v>
      </c>
      <c r="I151" s="248">
        <v>99.367270000000005</v>
      </c>
      <c r="J151" s="248"/>
      <c r="K151" s="248"/>
      <c r="L151" s="248">
        <f>Table1[[#This Row],[Green target threshold]]+Table1[[#This Row],[Green target threshold]]*0.5</f>
        <v>0</v>
      </c>
      <c r="M151" s="248"/>
      <c r="N151" s="248"/>
      <c r="O151" s="248"/>
      <c r="P151" s="248"/>
      <c r="Q151" s="248"/>
      <c r="R151" s="248"/>
      <c r="S151" s="248">
        <f>Table1[[#This Row],[Red target threshold]]-Table1[[#This Row],[Red target threshold]]*0.5</f>
        <v>0</v>
      </c>
      <c r="T151" s="248"/>
      <c r="U151" s="278"/>
    </row>
    <row r="152" spans="1:21" hidden="1" x14ac:dyDescent="0.25">
      <c r="A152" s="271"/>
      <c r="B152" s="173"/>
      <c r="C152" s="173"/>
      <c r="D152" s="173" t="s">
        <v>679</v>
      </c>
      <c r="E152" s="253">
        <v>98.052120000000002</v>
      </c>
      <c r="F152" s="254">
        <v>98.717709999999997</v>
      </c>
      <c r="G152" s="255">
        <v>99.140969999999996</v>
      </c>
      <c r="H152" s="305">
        <v>2017</v>
      </c>
      <c r="I152" s="248">
        <v>99.140969999999996</v>
      </c>
      <c r="J152" s="248"/>
      <c r="K152" s="248"/>
      <c r="L152" s="248">
        <f>Table1[[#This Row],[Green target threshold]]+Table1[[#This Row],[Green target threshold]]*0.5</f>
        <v>0</v>
      </c>
      <c r="M152" s="248"/>
      <c r="N152" s="248"/>
      <c r="O152" s="248"/>
      <c r="P152" s="248"/>
      <c r="Q152" s="248"/>
      <c r="R152" s="248"/>
      <c r="S152" s="248">
        <f>Table1[[#This Row],[Red target threshold]]-Table1[[#This Row],[Red target threshold]]*0.5</f>
        <v>0</v>
      </c>
      <c r="T152" s="248"/>
      <c r="U152" s="278"/>
    </row>
    <row r="153" spans="1:21" hidden="1" x14ac:dyDescent="0.25">
      <c r="A153" s="271"/>
      <c r="B153" s="173"/>
      <c r="C153" s="173"/>
      <c r="D153" s="173" t="s">
        <v>780</v>
      </c>
      <c r="E153" s="256">
        <v>41.625900000000001</v>
      </c>
      <c r="F153" s="257">
        <v>41.709510000000002</v>
      </c>
      <c r="G153" s="258">
        <v>40.826990000000002</v>
      </c>
      <c r="H153" s="305">
        <v>2017</v>
      </c>
      <c r="I153" s="248">
        <v>40.826990000000002</v>
      </c>
      <c r="J153" s="248"/>
      <c r="K153" s="248"/>
      <c r="L153" s="248">
        <f>Table1[[#This Row],[Green target threshold]]+Table1[[#This Row],[Green target threshold]]*0.5</f>
        <v>0</v>
      </c>
      <c r="M153" s="248"/>
      <c r="N153" s="248"/>
      <c r="O153" s="248"/>
      <c r="P153" s="248"/>
      <c r="Q153" s="248"/>
      <c r="R153" s="248"/>
      <c r="S153" s="248">
        <f>Table1[[#This Row],[Red target threshold]]-Table1[[#This Row],[Red target threshold]]*0.5</f>
        <v>0</v>
      </c>
      <c r="T153" s="248"/>
      <c r="U153" s="278"/>
    </row>
    <row r="154" spans="1:21" hidden="1" x14ac:dyDescent="0.25">
      <c r="A154" s="271"/>
      <c r="B154" s="173"/>
      <c r="C154" s="173"/>
      <c r="D154" s="173" t="s">
        <v>704</v>
      </c>
      <c r="E154" s="256">
        <v>40.703749999999999</v>
      </c>
      <c r="F154" s="257">
        <v>41.531080000000003</v>
      </c>
      <c r="G154" s="258">
        <v>43.033259999999999</v>
      </c>
      <c r="H154" s="305">
        <v>2017</v>
      </c>
      <c r="I154" s="248">
        <v>43.033259999999999</v>
      </c>
      <c r="J154" s="248"/>
      <c r="K154" s="248"/>
      <c r="L154" s="248">
        <f>Table1[[#This Row],[Green target threshold]]+Table1[[#This Row],[Green target threshold]]*0.5</f>
        <v>0</v>
      </c>
      <c r="M154" s="248"/>
      <c r="N154" s="248"/>
      <c r="O154" s="248"/>
      <c r="P154" s="248"/>
      <c r="Q154" s="248"/>
      <c r="R154" s="248"/>
      <c r="S154" s="248">
        <f>Table1[[#This Row],[Red target threshold]]-Table1[[#This Row],[Red target threshold]]*0.5</f>
        <v>0</v>
      </c>
      <c r="T154" s="248"/>
      <c r="U154" s="278"/>
    </row>
    <row r="155" spans="1:21" hidden="1" x14ac:dyDescent="0.25">
      <c r="A155" s="271"/>
      <c r="B155" s="173"/>
      <c r="C155" s="173"/>
      <c r="D155" s="173" t="s">
        <v>722</v>
      </c>
      <c r="E155" s="256">
        <v>37.474449999999997</v>
      </c>
      <c r="F155" s="257">
        <v>40.556199999999997</v>
      </c>
      <c r="G155" s="258">
        <v>39.540750000000003</v>
      </c>
      <c r="H155" s="305">
        <v>2017</v>
      </c>
      <c r="I155" s="248">
        <v>39.540750000000003</v>
      </c>
      <c r="J155" s="248"/>
      <c r="K155" s="248"/>
      <c r="L155" s="248">
        <f>Table1[[#This Row],[Green target threshold]]+Table1[[#This Row],[Green target threshold]]*0.5</f>
        <v>0</v>
      </c>
      <c r="M155" s="248"/>
      <c r="N155" s="248"/>
      <c r="O155" s="248"/>
      <c r="P155" s="248"/>
      <c r="Q155" s="248"/>
      <c r="R155" s="248"/>
      <c r="S155" s="248">
        <f>Table1[[#This Row],[Red target threshold]]-Table1[[#This Row],[Red target threshold]]*0.5</f>
        <v>0</v>
      </c>
      <c r="T155" s="248"/>
      <c r="U155" s="278"/>
    </row>
    <row r="156" spans="1:21" hidden="1" x14ac:dyDescent="0.25">
      <c r="A156" s="271"/>
      <c r="B156" s="173"/>
      <c r="C156" s="173"/>
      <c r="D156" s="173" t="s">
        <v>781</v>
      </c>
      <c r="E156" s="256">
        <v>35.234920000000002</v>
      </c>
      <c r="F156" s="257">
        <v>35.461440000000003</v>
      </c>
      <c r="G156" s="258">
        <v>36.007770000000001</v>
      </c>
      <c r="H156" s="305">
        <v>2017</v>
      </c>
      <c r="I156" s="248">
        <v>36.007770000000001</v>
      </c>
      <c r="J156" s="248"/>
      <c r="K156" s="248"/>
      <c r="L156" s="248">
        <f>Table1[[#This Row],[Green target threshold]]+Table1[[#This Row],[Green target threshold]]*0.5</f>
        <v>0</v>
      </c>
      <c r="M156" s="248"/>
      <c r="N156" s="248"/>
      <c r="O156" s="248"/>
      <c r="P156" s="248"/>
      <c r="Q156" s="248"/>
      <c r="R156" s="248"/>
      <c r="S156" s="248">
        <f>Table1[[#This Row],[Red target threshold]]-Table1[[#This Row],[Red target threshold]]*0.5</f>
        <v>0</v>
      </c>
      <c r="T156" s="248"/>
      <c r="U156" s="278"/>
    </row>
    <row r="157" spans="1:21" hidden="1" x14ac:dyDescent="0.25">
      <c r="A157" s="271"/>
      <c r="B157" s="173"/>
      <c r="C157" s="173"/>
      <c r="D157" s="173" t="s">
        <v>782</v>
      </c>
      <c r="E157" s="256">
        <v>29.407039999999999</v>
      </c>
      <c r="F157" s="257">
        <v>32.879660000000001</v>
      </c>
      <c r="G157" s="258">
        <v>33.666969999999999</v>
      </c>
      <c r="H157" s="305">
        <v>2017</v>
      </c>
      <c r="I157" s="248">
        <v>33.666969999999999</v>
      </c>
      <c r="J157" s="248"/>
      <c r="K157" s="248"/>
      <c r="L157" s="248">
        <f>Table1[[#This Row],[Green target threshold]]+Table1[[#This Row],[Green target threshold]]*0.5</f>
        <v>0</v>
      </c>
      <c r="M157" s="248"/>
      <c r="N157" s="248"/>
      <c r="O157" s="248"/>
      <c r="P157" s="248"/>
      <c r="Q157" s="248"/>
      <c r="R157" s="248"/>
      <c r="S157" s="248">
        <f>Table1[[#This Row],[Red target threshold]]-Table1[[#This Row],[Red target threshold]]*0.5</f>
        <v>0</v>
      </c>
      <c r="T157" s="248"/>
      <c r="U157" s="278"/>
    </row>
    <row r="158" spans="1:21" s="262" customFormat="1" hidden="1" x14ac:dyDescent="0.25">
      <c r="A158" s="293"/>
      <c r="B158" s="290"/>
      <c r="C158" s="290"/>
      <c r="D158" s="290"/>
      <c r="E158" s="291">
        <v>2016</v>
      </c>
      <c r="F158" s="291">
        <v>2017</v>
      </c>
      <c r="G158" s="291">
        <v>2018</v>
      </c>
      <c r="H158" s="291"/>
      <c r="I158" s="291"/>
      <c r="J158" s="291"/>
      <c r="K158" s="291"/>
      <c r="L158" s="291">
        <f>Table1[[#This Row],[Green target threshold]]+Table1[[#This Row],[Green target threshold]]*0.5</f>
        <v>0</v>
      </c>
      <c r="M158" s="291"/>
      <c r="N158" s="291"/>
      <c r="O158" s="291"/>
      <c r="P158" s="291"/>
      <c r="Q158" s="291"/>
      <c r="R158" s="291"/>
      <c r="S158" s="291">
        <f>Table1[[#This Row],[Red target threshold]]-Table1[[#This Row],[Red target threshold]]*0.5</f>
        <v>0</v>
      </c>
      <c r="T158" s="291"/>
      <c r="U158" s="297"/>
    </row>
    <row r="159" spans="1:21" hidden="1" x14ac:dyDescent="0.25">
      <c r="A159" s="302" t="s">
        <v>559</v>
      </c>
      <c r="B159" s="337" t="s">
        <v>917</v>
      </c>
      <c r="C159" s="337" t="s">
        <v>473</v>
      </c>
      <c r="D159" s="336" t="s">
        <v>904</v>
      </c>
      <c r="E159" s="304">
        <v>17.364519999999999</v>
      </c>
      <c r="F159" s="304">
        <v>17.212980000000002</v>
      </c>
      <c r="G159" s="304">
        <v>17.122129999999999</v>
      </c>
      <c r="H159" s="305">
        <v>2017</v>
      </c>
      <c r="I159" s="305">
        <v>17.212980000000002</v>
      </c>
      <c r="J159" s="305">
        <v>2015</v>
      </c>
      <c r="K159" s="295">
        <v>15.093299999999999</v>
      </c>
      <c r="L159" s="295">
        <f>Table1[[#This Row],[Green target threshold]]+Table1[[#This Row],[Green target threshold]]*0.5</f>
        <v>0</v>
      </c>
      <c r="M159" s="305">
        <v>0</v>
      </c>
      <c r="N159" s="305"/>
      <c r="O159" s="305" t="s">
        <v>982</v>
      </c>
      <c r="P159" s="305">
        <f>(M159-K159)*0.5+K159</f>
        <v>7.5466499999999996</v>
      </c>
      <c r="Q159" s="305">
        <f>K159</f>
        <v>15.093299999999999</v>
      </c>
      <c r="R159" s="305">
        <f>K159</f>
        <v>15.093299999999999</v>
      </c>
      <c r="S159" s="305">
        <f>Table1[[#This Row],[Red target threshold]]+Table1[[#This Row],[Red target threshold]]*0.5</f>
        <v>22.639949999999999</v>
      </c>
      <c r="T159" s="305" t="s">
        <v>983</v>
      </c>
      <c r="U159" s="303" t="s">
        <v>783</v>
      </c>
    </row>
    <row r="160" spans="1:21" hidden="1" x14ac:dyDescent="0.25">
      <c r="A160" s="271"/>
      <c r="B160" s="173"/>
      <c r="C160" s="173"/>
      <c r="D160" s="173" t="s">
        <v>710</v>
      </c>
      <c r="E160" s="253">
        <v>45.827199999999998</v>
      </c>
      <c r="F160" s="254">
        <v>45.563699999999997</v>
      </c>
      <c r="G160" s="255">
        <v>50.707900000000002</v>
      </c>
      <c r="H160" s="305">
        <v>2017</v>
      </c>
      <c r="I160" s="248">
        <v>45.563699999999997</v>
      </c>
      <c r="J160" s="248"/>
      <c r="K160" s="248"/>
      <c r="L160" s="248">
        <f>Table1[[#This Row],[Green target threshold]]+Table1[[#This Row],[Green target threshold]]*0.5</f>
        <v>0</v>
      </c>
      <c r="M160" s="248"/>
      <c r="N160" s="248"/>
      <c r="O160" s="248"/>
      <c r="P160" s="248"/>
      <c r="Q160" s="248"/>
      <c r="R160" s="248"/>
      <c r="S160" s="248">
        <f>Table1[[#This Row],[Red target threshold]]-Table1[[#This Row],[Red target threshold]]*0.5</f>
        <v>0</v>
      </c>
      <c r="T160" s="248"/>
      <c r="U160" s="278"/>
    </row>
    <row r="161" spans="1:21" hidden="1" x14ac:dyDescent="0.25">
      <c r="A161" s="271"/>
      <c r="B161" s="173"/>
      <c r="C161" s="173"/>
      <c r="D161" s="173" t="s">
        <v>785</v>
      </c>
      <c r="E161" s="253">
        <v>0</v>
      </c>
      <c r="F161" s="254">
        <v>44.997500000000002</v>
      </c>
      <c r="G161" s="255">
        <v>44.901299999999999</v>
      </c>
      <c r="H161" s="305">
        <v>2017</v>
      </c>
      <c r="I161" s="248">
        <v>44.997500000000002</v>
      </c>
      <c r="J161" s="248"/>
      <c r="K161" s="248"/>
      <c r="L161" s="248">
        <f>Table1[[#This Row],[Green target threshold]]+Table1[[#This Row],[Green target threshold]]*0.5</f>
        <v>0</v>
      </c>
      <c r="M161" s="248"/>
      <c r="N161" s="248"/>
      <c r="O161" s="248"/>
      <c r="P161" s="248"/>
      <c r="Q161" s="248"/>
      <c r="R161" s="248"/>
      <c r="S161" s="248">
        <f>Table1[[#This Row],[Red target threshold]]-Table1[[#This Row],[Red target threshold]]*0.5</f>
        <v>0</v>
      </c>
      <c r="T161" s="248"/>
      <c r="U161" s="278"/>
    </row>
    <row r="162" spans="1:21" hidden="1" x14ac:dyDescent="0.25">
      <c r="A162" s="271"/>
      <c r="B162" s="173"/>
      <c r="C162" s="173"/>
      <c r="D162" s="173" t="s">
        <v>782</v>
      </c>
      <c r="E162" s="253">
        <v>40.0608</v>
      </c>
      <c r="F162" s="254">
        <v>38.498800000000003</v>
      </c>
      <c r="G162" s="255">
        <v>36.266800000000003</v>
      </c>
      <c r="H162" s="305">
        <v>2017</v>
      </c>
      <c r="I162" s="248">
        <v>38.498800000000003</v>
      </c>
      <c r="J162" s="248"/>
      <c r="K162" s="248"/>
      <c r="L162" s="248">
        <f>Table1[[#This Row],[Green target threshold]]+Table1[[#This Row],[Green target threshold]]*0.5</f>
        <v>0</v>
      </c>
      <c r="M162" s="248"/>
      <c r="N162" s="248"/>
      <c r="O162" s="248"/>
      <c r="P162" s="248"/>
      <c r="Q162" s="248"/>
      <c r="R162" s="248"/>
      <c r="S162" s="248">
        <f>Table1[[#This Row],[Red target threshold]]-Table1[[#This Row],[Red target threshold]]*0.5</f>
        <v>0</v>
      </c>
      <c r="T162" s="248"/>
      <c r="U162" s="278"/>
    </row>
    <row r="163" spans="1:21" hidden="1" x14ac:dyDescent="0.25">
      <c r="A163" s="271"/>
      <c r="B163" s="173"/>
      <c r="C163" s="173"/>
      <c r="D163" s="173" t="s">
        <v>786</v>
      </c>
      <c r="E163" s="253">
        <v>38.089700000000001</v>
      </c>
      <c r="F163" s="254">
        <v>38.241799999999998</v>
      </c>
      <c r="G163" s="255">
        <v>35.1815</v>
      </c>
      <c r="H163" s="305">
        <v>2017</v>
      </c>
      <c r="I163" s="248">
        <v>38.241799999999998</v>
      </c>
      <c r="J163" s="248"/>
      <c r="K163" s="248"/>
      <c r="L163" s="248">
        <f>Table1[[#This Row],[Green target threshold]]+Table1[[#This Row],[Green target threshold]]*0.5</f>
        <v>0</v>
      </c>
      <c r="M163" s="248"/>
      <c r="N163" s="248"/>
      <c r="O163" s="248"/>
      <c r="P163" s="248"/>
      <c r="Q163" s="248"/>
      <c r="R163" s="248"/>
      <c r="S163" s="248">
        <f>Table1[[#This Row],[Red target threshold]]-Table1[[#This Row],[Red target threshold]]*0.5</f>
        <v>0</v>
      </c>
      <c r="T163" s="248"/>
      <c r="U163" s="278"/>
    </row>
    <row r="164" spans="1:21" hidden="1" x14ac:dyDescent="0.25">
      <c r="A164" s="271"/>
      <c r="B164" s="173"/>
      <c r="C164" s="173"/>
      <c r="D164" s="173" t="s">
        <v>781</v>
      </c>
      <c r="E164" s="253">
        <v>40.281599999999997</v>
      </c>
      <c r="F164" s="254">
        <v>37.007899999999999</v>
      </c>
      <c r="G164" s="255">
        <v>33.8459</v>
      </c>
      <c r="H164" s="305">
        <v>2017</v>
      </c>
      <c r="I164" s="248">
        <v>37.007899999999999</v>
      </c>
      <c r="J164" s="248"/>
      <c r="K164" s="248"/>
      <c r="L164" s="248">
        <f>Table1[[#This Row],[Green target threshold]]+Table1[[#This Row],[Green target threshold]]*0.5</f>
        <v>0</v>
      </c>
      <c r="M164" s="248"/>
      <c r="N164" s="248"/>
      <c r="O164" s="248"/>
      <c r="P164" s="248"/>
      <c r="Q164" s="248"/>
      <c r="R164" s="248"/>
      <c r="S164" s="248">
        <f>Table1[[#This Row],[Red target threshold]]-Table1[[#This Row],[Red target threshold]]*0.5</f>
        <v>0</v>
      </c>
      <c r="T164" s="248"/>
      <c r="U164" s="278"/>
    </row>
    <row r="165" spans="1:21" hidden="1" x14ac:dyDescent="0.25">
      <c r="A165" s="271"/>
      <c r="B165" s="173"/>
      <c r="C165" s="173"/>
      <c r="D165" s="173" t="s">
        <v>702</v>
      </c>
      <c r="E165" s="256">
        <v>4.7800000000000002E-2</v>
      </c>
      <c r="F165" s="257">
        <v>4.9700000000000001E-2</v>
      </c>
      <c r="G165" s="258"/>
      <c r="H165" s="305">
        <v>2017</v>
      </c>
      <c r="I165" s="248">
        <v>4.9700000000000001E-2</v>
      </c>
      <c r="J165" s="248"/>
      <c r="K165" s="248"/>
      <c r="L165" s="248">
        <f>Table1[[#This Row],[Green target threshold]]+Table1[[#This Row],[Green target threshold]]*0.5</f>
        <v>0</v>
      </c>
      <c r="M165" s="248"/>
      <c r="N165" s="248"/>
      <c r="O165" s="248"/>
      <c r="P165" s="248"/>
      <c r="Q165" s="248"/>
      <c r="R165" s="248"/>
      <c r="S165" s="248">
        <f>Table1[[#This Row],[Red target threshold]]-Table1[[#This Row],[Red target threshold]]*0.5</f>
        <v>0</v>
      </c>
      <c r="T165" s="248"/>
      <c r="U165" s="278"/>
    </row>
    <row r="166" spans="1:21" hidden="1" x14ac:dyDescent="0.25">
      <c r="A166" s="271"/>
      <c r="B166" s="173"/>
      <c r="C166" s="173"/>
      <c r="D166" s="173" t="s">
        <v>681</v>
      </c>
      <c r="E166" s="256">
        <v>0.15859999999999999</v>
      </c>
      <c r="F166" s="257">
        <v>0.216</v>
      </c>
      <c r="G166" s="258"/>
      <c r="H166" s="305">
        <v>2017</v>
      </c>
      <c r="I166" s="248">
        <v>0.216</v>
      </c>
      <c r="J166" s="248"/>
      <c r="K166" s="248"/>
      <c r="L166" s="248">
        <f>Table1[[#This Row],[Green target threshold]]+Table1[[#This Row],[Green target threshold]]*0.5</f>
        <v>0</v>
      </c>
      <c r="M166" s="248"/>
      <c r="N166" s="248"/>
      <c r="O166" s="248"/>
      <c r="P166" s="248"/>
      <c r="Q166" s="248"/>
      <c r="R166" s="248"/>
      <c r="S166" s="248">
        <f>Table1[[#This Row],[Red target threshold]]-Table1[[#This Row],[Red target threshold]]*0.5</f>
        <v>0</v>
      </c>
      <c r="T166" s="248"/>
      <c r="U166" s="278"/>
    </row>
    <row r="167" spans="1:21" hidden="1" x14ac:dyDescent="0.25">
      <c r="A167" s="271"/>
      <c r="B167" s="173"/>
      <c r="C167" s="173"/>
      <c r="D167" s="173" t="s">
        <v>679</v>
      </c>
      <c r="E167" s="256">
        <v>1.2515000000000001</v>
      </c>
      <c r="F167" s="257">
        <v>0.64580000000000004</v>
      </c>
      <c r="G167" s="258"/>
      <c r="H167" s="305">
        <v>2017</v>
      </c>
      <c r="I167" s="248">
        <v>0.64580000000000004</v>
      </c>
      <c r="J167" s="248"/>
      <c r="K167" s="248"/>
      <c r="L167" s="248">
        <f>Table1[[#This Row],[Green target threshold]]+Table1[[#This Row],[Green target threshold]]*0.5</f>
        <v>0</v>
      </c>
      <c r="M167" s="248"/>
      <c r="N167" s="248"/>
      <c r="O167" s="248"/>
      <c r="P167" s="248"/>
      <c r="Q167" s="248"/>
      <c r="R167" s="248"/>
      <c r="S167" s="248">
        <f>Table1[[#This Row],[Red target threshold]]-Table1[[#This Row],[Red target threshold]]*0.5</f>
        <v>0</v>
      </c>
      <c r="T167" s="248"/>
      <c r="U167" s="278"/>
    </row>
    <row r="168" spans="1:21" hidden="1" x14ac:dyDescent="0.25">
      <c r="A168" s="271"/>
      <c r="B168" s="173"/>
      <c r="C168" s="173"/>
      <c r="D168" s="173" t="s">
        <v>774</v>
      </c>
      <c r="E168" s="256">
        <v>0.79800000000000004</v>
      </c>
      <c r="F168" s="257">
        <v>0.68420000000000003</v>
      </c>
      <c r="G168" s="258"/>
      <c r="H168" s="305">
        <v>2017</v>
      </c>
      <c r="I168" s="248">
        <v>0.68420000000000003</v>
      </c>
      <c r="J168" s="248"/>
      <c r="K168" s="248"/>
      <c r="L168" s="248">
        <f>Table1[[#This Row],[Green target threshold]]+Table1[[#This Row],[Green target threshold]]*0.5</f>
        <v>0</v>
      </c>
      <c r="M168" s="248"/>
      <c r="N168" s="248"/>
      <c r="O168" s="248"/>
      <c r="P168" s="248"/>
      <c r="Q168" s="248"/>
      <c r="R168" s="248"/>
      <c r="S168" s="248">
        <f>Table1[[#This Row],[Red target threshold]]-Table1[[#This Row],[Red target threshold]]*0.5</f>
        <v>0</v>
      </c>
      <c r="T168" s="248"/>
      <c r="U168" s="278"/>
    </row>
    <row r="169" spans="1:21" hidden="1" x14ac:dyDescent="0.25">
      <c r="A169" s="271"/>
      <c r="B169" s="173"/>
      <c r="C169" s="173"/>
      <c r="D169" s="173" t="s">
        <v>787</v>
      </c>
      <c r="E169" s="256">
        <v>1.4164000000000001</v>
      </c>
      <c r="F169" s="257">
        <v>0.71919999999999995</v>
      </c>
      <c r="G169" s="258"/>
      <c r="H169" s="305">
        <v>2017</v>
      </c>
      <c r="I169" s="248">
        <v>0.71919999999999995</v>
      </c>
      <c r="J169" s="248"/>
      <c r="K169" s="248"/>
      <c r="L169" s="248">
        <f>Table1[[#This Row],[Green target threshold]]+Table1[[#This Row],[Green target threshold]]*0.5</f>
        <v>0</v>
      </c>
      <c r="M169" s="248"/>
      <c r="N169" s="248"/>
      <c r="O169" s="248"/>
      <c r="P169" s="248"/>
      <c r="Q169" s="248"/>
      <c r="R169" s="248"/>
      <c r="S169" s="248">
        <f>Table1[[#This Row],[Red target threshold]]-Table1[[#This Row],[Red target threshold]]*0.5</f>
        <v>0</v>
      </c>
      <c r="T169" s="248"/>
      <c r="U169" s="278"/>
    </row>
    <row r="170" spans="1:21" s="262" customFormat="1" hidden="1" x14ac:dyDescent="0.25">
      <c r="A170" s="293"/>
      <c r="B170" s="290"/>
      <c r="C170" s="290"/>
      <c r="D170" s="290"/>
      <c r="E170" s="291">
        <v>2016</v>
      </c>
      <c r="F170" s="291">
        <v>2017</v>
      </c>
      <c r="G170" s="291">
        <v>2018</v>
      </c>
      <c r="H170" s="291"/>
      <c r="I170" s="291"/>
      <c r="J170" s="291"/>
      <c r="K170" s="291"/>
      <c r="L170" s="291">
        <f>Table1[[#This Row],[Green target threshold]]+Table1[[#This Row],[Green target threshold]]*0.5</f>
        <v>0</v>
      </c>
      <c r="M170" s="291"/>
      <c r="N170" s="291"/>
      <c r="O170" s="291"/>
      <c r="P170" s="291"/>
      <c r="Q170" s="291"/>
      <c r="R170" s="291"/>
      <c r="S170" s="291">
        <f>Table1[[#This Row],[Red target threshold]]-Table1[[#This Row],[Red target threshold]]*0.5</f>
        <v>0</v>
      </c>
      <c r="T170" s="291"/>
      <c r="U170" s="297"/>
    </row>
    <row r="171" spans="1:21" hidden="1" x14ac:dyDescent="0.25">
      <c r="A171" s="302" t="s">
        <v>566</v>
      </c>
      <c r="B171" s="337" t="s">
        <v>562</v>
      </c>
      <c r="C171" s="337" t="s">
        <v>219</v>
      </c>
      <c r="D171" s="336" t="s">
        <v>904</v>
      </c>
      <c r="E171" s="304">
        <v>8.4</v>
      </c>
      <c r="F171" s="304">
        <v>8.4</v>
      </c>
      <c r="G171" s="304">
        <v>8.4</v>
      </c>
      <c r="H171" s="305">
        <v>2018</v>
      </c>
      <c r="I171" s="305">
        <v>8.4</v>
      </c>
      <c r="J171" s="305">
        <v>2015</v>
      </c>
      <c r="K171" s="295">
        <v>7.61564</v>
      </c>
      <c r="L171" s="295">
        <v>15</v>
      </c>
      <c r="M171" s="305">
        <f>AVERAGE(G172:G176)</f>
        <v>13.440000000000001</v>
      </c>
      <c r="N171" s="305"/>
      <c r="O171" s="305" t="s">
        <v>978</v>
      </c>
      <c r="P171" s="305">
        <f>(M171-K171)*0.5+K171</f>
        <v>10.52782</v>
      </c>
      <c r="Q171" s="305">
        <f>K171</f>
        <v>7.61564</v>
      </c>
      <c r="R171" s="305">
        <f>K171</f>
        <v>7.61564</v>
      </c>
      <c r="S171" s="305">
        <f>Table1[[#This Row],[Red target threshold]]-Table1[[#This Row],[Red target threshold]]*0.5</f>
        <v>3.80782</v>
      </c>
      <c r="T171" s="305"/>
      <c r="U171" s="303" t="s">
        <v>723</v>
      </c>
    </row>
    <row r="172" spans="1:21" hidden="1" x14ac:dyDescent="0.25">
      <c r="A172" s="271"/>
      <c r="B172" s="173"/>
      <c r="C172" s="173"/>
      <c r="D172" s="173" t="s">
        <v>724</v>
      </c>
      <c r="E172" s="253">
        <v>14.1</v>
      </c>
      <c r="F172" s="254">
        <v>14.1</v>
      </c>
      <c r="G172" s="255">
        <v>14.1</v>
      </c>
      <c r="H172" s="305">
        <v>2018</v>
      </c>
      <c r="I172" s="248">
        <v>14.1</v>
      </c>
      <c r="J172" s="248"/>
      <c r="K172" s="248"/>
      <c r="L172" s="248">
        <f>Table1[[#This Row],[Green target threshold]]+Table1[[#This Row],[Green target threshold]]*0.5</f>
        <v>0</v>
      </c>
      <c r="M172" s="248"/>
      <c r="N172" s="248"/>
      <c r="O172" s="248"/>
      <c r="P172" s="248"/>
      <c r="Q172" s="248"/>
      <c r="R172" s="248"/>
      <c r="S172" s="248">
        <f>Table1[[#This Row],[Red target threshold]]-Table1[[#This Row],[Red target threshold]]*0.5</f>
        <v>0</v>
      </c>
      <c r="T172" s="248"/>
      <c r="U172" s="278"/>
    </row>
    <row r="173" spans="1:21" hidden="1" x14ac:dyDescent="0.25">
      <c r="A173" s="271"/>
      <c r="B173" s="173"/>
      <c r="C173" s="173"/>
      <c r="D173" s="173" t="s">
        <v>725</v>
      </c>
      <c r="E173" s="253">
        <v>13.4</v>
      </c>
      <c r="F173" s="254">
        <v>13.4</v>
      </c>
      <c r="G173" s="255">
        <v>13.4</v>
      </c>
      <c r="H173" s="305">
        <v>2018</v>
      </c>
      <c r="I173" s="248">
        <v>13.4</v>
      </c>
      <c r="J173" s="248"/>
      <c r="K173" s="248"/>
      <c r="L173" s="248">
        <f>Table1[[#This Row],[Green target threshold]]+Table1[[#This Row],[Green target threshold]]*0.5</f>
        <v>0</v>
      </c>
      <c r="M173" s="248"/>
      <c r="N173" s="248"/>
      <c r="O173" s="248"/>
      <c r="P173" s="248"/>
      <c r="Q173" s="248"/>
      <c r="R173" s="248"/>
      <c r="S173" s="248">
        <f>Table1[[#This Row],[Red target threshold]]-Table1[[#This Row],[Red target threshold]]*0.5</f>
        <v>0</v>
      </c>
      <c r="T173" s="248"/>
      <c r="U173" s="278"/>
    </row>
    <row r="174" spans="1:21" hidden="1" x14ac:dyDescent="0.25">
      <c r="A174" s="271"/>
      <c r="B174" s="173"/>
      <c r="C174" s="173"/>
      <c r="D174" s="173" t="s">
        <v>726</v>
      </c>
      <c r="E174" s="253">
        <v>13.4</v>
      </c>
      <c r="F174" s="254">
        <v>13.4</v>
      </c>
      <c r="G174" s="255">
        <v>13.4</v>
      </c>
      <c r="H174" s="305">
        <v>2018</v>
      </c>
      <c r="I174" s="248">
        <v>13.4</v>
      </c>
      <c r="J174" s="248"/>
      <c r="K174" s="248"/>
      <c r="L174" s="248">
        <f>Table1[[#This Row],[Green target threshold]]+Table1[[#This Row],[Green target threshold]]*0.5</f>
        <v>0</v>
      </c>
      <c r="M174" s="248"/>
      <c r="N174" s="248"/>
      <c r="O174" s="248"/>
      <c r="P174" s="248"/>
      <c r="Q174" s="248"/>
      <c r="R174" s="248"/>
      <c r="S174" s="248">
        <f>Table1[[#This Row],[Red target threshold]]-Table1[[#This Row],[Red target threshold]]*0.5</f>
        <v>0</v>
      </c>
      <c r="T174" s="248"/>
      <c r="U174" s="278"/>
    </row>
    <row r="175" spans="1:21" hidden="1" x14ac:dyDescent="0.25">
      <c r="A175" s="271"/>
      <c r="B175" s="173"/>
      <c r="C175" s="173"/>
      <c r="D175" s="173" t="s">
        <v>727</v>
      </c>
      <c r="E175" s="253">
        <v>13.3</v>
      </c>
      <c r="F175" s="254">
        <v>13.3</v>
      </c>
      <c r="G175" s="255">
        <v>13.3</v>
      </c>
      <c r="H175" s="305">
        <v>2018</v>
      </c>
      <c r="I175" s="248">
        <v>13.3</v>
      </c>
      <c r="J175" s="248"/>
      <c r="K175" s="248"/>
      <c r="L175" s="248">
        <f>Table1[[#This Row],[Green target threshold]]+Table1[[#This Row],[Green target threshold]]*0.5</f>
        <v>0</v>
      </c>
      <c r="M175" s="248"/>
      <c r="N175" s="248"/>
      <c r="O175" s="248"/>
      <c r="P175" s="248"/>
      <c r="Q175" s="248"/>
      <c r="R175" s="248"/>
      <c r="S175" s="248">
        <f>Table1[[#This Row],[Red target threshold]]-Table1[[#This Row],[Red target threshold]]*0.5</f>
        <v>0</v>
      </c>
      <c r="T175" s="248"/>
      <c r="U175" s="278"/>
    </row>
    <row r="176" spans="1:21" hidden="1" x14ac:dyDescent="0.25">
      <c r="A176" s="271"/>
      <c r="B176" s="173"/>
      <c r="C176" s="173"/>
      <c r="D176" s="173" t="s">
        <v>728</v>
      </c>
      <c r="E176" s="253">
        <v>13.1</v>
      </c>
      <c r="F176" s="254">
        <v>13</v>
      </c>
      <c r="G176" s="255">
        <v>13</v>
      </c>
      <c r="H176" s="305">
        <v>2018</v>
      </c>
      <c r="I176" s="248">
        <v>13</v>
      </c>
      <c r="J176" s="248"/>
      <c r="K176" s="248"/>
      <c r="L176" s="248">
        <f>Table1[[#This Row],[Green target threshold]]+Table1[[#This Row],[Green target threshold]]*0.5</f>
        <v>0</v>
      </c>
      <c r="M176" s="248"/>
      <c r="N176" s="248"/>
      <c r="O176" s="248"/>
      <c r="P176" s="248"/>
      <c r="Q176" s="248"/>
      <c r="R176" s="248"/>
      <c r="S176" s="248">
        <f>Table1[[#This Row],[Red target threshold]]-Table1[[#This Row],[Red target threshold]]*0.5</f>
        <v>0</v>
      </c>
      <c r="T176" s="248"/>
      <c r="U176" s="278"/>
    </row>
    <row r="177" spans="1:21" hidden="1" x14ac:dyDescent="0.25">
      <c r="A177" s="271"/>
      <c r="B177" s="173"/>
      <c r="C177" s="173"/>
      <c r="D177" s="173" t="s">
        <v>729</v>
      </c>
      <c r="E177" s="256">
        <v>1.9</v>
      </c>
      <c r="F177" s="257">
        <v>2</v>
      </c>
      <c r="G177" s="258">
        <v>2</v>
      </c>
      <c r="H177" s="305">
        <v>2018</v>
      </c>
      <c r="I177" s="248">
        <v>2</v>
      </c>
      <c r="J177" s="248"/>
      <c r="K177" s="248"/>
      <c r="L177" s="248">
        <f>Table1[[#This Row],[Green target threshold]]+Table1[[#This Row],[Green target threshold]]*0.5</f>
        <v>0</v>
      </c>
      <c r="M177" s="248"/>
      <c r="N177" s="248"/>
      <c r="O177" s="248"/>
      <c r="P177" s="248"/>
      <c r="Q177" s="248"/>
      <c r="R177" s="248"/>
      <c r="S177" s="248">
        <f>Table1[[#This Row],[Red target threshold]]-Table1[[#This Row],[Red target threshold]]*0.5</f>
        <v>0</v>
      </c>
      <c r="T177" s="248"/>
      <c r="U177" s="278"/>
    </row>
    <row r="178" spans="1:21" hidden="1" x14ac:dyDescent="0.25">
      <c r="A178" s="271"/>
      <c r="B178" s="173"/>
      <c r="C178" s="173"/>
      <c r="D178" s="173" t="s">
        <v>730</v>
      </c>
      <c r="E178" s="256">
        <v>2.4</v>
      </c>
      <c r="F178" s="257">
        <v>2.4</v>
      </c>
      <c r="G178" s="258">
        <v>2.4</v>
      </c>
      <c r="H178" s="305">
        <v>2018</v>
      </c>
      <c r="I178" s="248">
        <v>2.4</v>
      </c>
      <c r="J178" s="248"/>
      <c r="K178" s="248"/>
      <c r="L178" s="248">
        <f>Table1[[#This Row],[Green target threshold]]+Table1[[#This Row],[Green target threshold]]*0.5</f>
        <v>0</v>
      </c>
      <c r="M178" s="248"/>
      <c r="N178" s="248"/>
      <c r="O178" s="248"/>
      <c r="P178" s="248"/>
      <c r="Q178" s="248"/>
      <c r="R178" s="248"/>
      <c r="S178" s="248">
        <f>Table1[[#This Row],[Red target threshold]]-Table1[[#This Row],[Red target threshold]]*0.5</f>
        <v>0</v>
      </c>
      <c r="T178" s="248"/>
      <c r="U178" s="278"/>
    </row>
    <row r="179" spans="1:21" hidden="1" x14ac:dyDescent="0.25">
      <c r="A179" s="271"/>
      <c r="B179" s="173"/>
      <c r="C179" s="173"/>
      <c r="D179" s="173" t="s">
        <v>731</v>
      </c>
      <c r="E179" s="256">
        <v>2.2000000000000002</v>
      </c>
      <c r="F179" s="257">
        <v>2.4</v>
      </c>
      <c r="G179" s="258">
        <v>2.4</v>
      </c>
      <c r="H179" s="305">
        <v>2018</v>
      </c>
      <c r="I179" s="248">
        <v>2.4</v>
      </c>
      <c r="J179" s="248"/>
      <c r="K179" s="248"/>
      <c r="L179" s="248">
        <f>Table1[[#This Row],[Green target threshold]]+Table1[[#This Row],[Green target threshold]]*0.5</f>
        <v>0</v>
      </c>
      <c r="M179" s="248"/>
      <c r="N179" s="248"/>
      <c r="O179" s="248"/>
      <c r="P179" s="248"/>
      <c r="Q179" s="248"/>
      <c r="R179" s="248"/>
      <c r="S179" s="248">
        <f>Table1[[#This Row],[Red target threshold]]-Table1[[#This Row],[Red target threshold]]*0.5</f>
        <v>0</v>
      </c>
      <c r="T179" s="248"/>
      <c r="U179" s="278"/>
    </row>
    <row r="180" spans="1:21" hidden="1" x14ac:dyDescent="0.25">
      <c r="A180" s="271"/>
      <c r="B180" s="173"/>
      <c r="C180" s="173"/>
      <c r="D180" s="173" t="s">
        <v>732</v>
      </c>
      <c r="E180" s="256">
        <v>2.7</v>
      </c>
      <c r="F180" s="257">
        <v>2.7</v>
      </c>
      <c r="G180" s="258">
        <v>2.7</v>
      </c>
      <c r="H180" s="305">
        <v>2018</v>
      </c>
      <c r="I180" s="248">
        <v>2.7</v>
      </c>
      <c r="J180" s="248"/>
      <c r="K180" s="248"/>
      <c r="L180" s="248">
        <f>Table1[[#This Row],[Green target threshold]]+Table1[[#This Row],[Green target threshold]]*0.5</f>
        <v>0</v>
      </c>
      <c r="M180" s="248"/>
      <c r="N180" s="248"/>
      <c r="O180" s="248"/>
      <c r="P180" s="248"/>
      <c r="Q180" s="248"/>
      <c r="R180" s="248"/>
      <c r="S180" s="248">
        <f>Table1[[#This Row],[Red target threshold]]-Table1[[#This Row],[Red target threshold]]*0.5</f>
        <v>0</v>
      </c>
      <c r="T180" s="248"/>
      <c r="U180" s="278"/>
    </row>
    <row r="181" spans="1:21" hidden="1" x14ac:dyDescent="0.25">
      <c r="A181" s="271"/>
      <c r="B181" s="173"/>
      <c r="C181" s="173"/>
      <c r="D181" s="173" t="s">
        <v>733</v>
      </c>
      <c r="E181" s="256">
        <v>2.7</v>
      </c>
      <c r="F181" s="257">
        <v>2.8</v>
      </c>
      <c r="G181" s="258">
        <v>2.8</v>
      </c>
      <c r="H181" s="305">
        <v>2018</v>
      </c>
      <c r="I181" s="248">
        <v>2.8</v>
      </c>
      <c r="J181" s="248"/>
      <c r="K181" s="248"/>
      <c r="L181" s="248">
        <f>Table1[[#This Row],[Green target threshold]]+Table1[[#This Row],[Green target threshold]]*0.5</f>
        <v>0</v>
      </c>
      <c r="M181" s="248"/>
      <c r="N181" s="248"/>
      <c r="O181" s="248"/>
      <c r="P181" s="248"/>
      <c r="Q181" s="248"/>
      <c r="R181" s="248"/>
      <c r="S181" s="248">
        <f>Table1[[#This Row],[Red target threshold]]-Table1[[#This Row],[Red target threshold]]*0.5</f>
        <v>0</v>
      </c>
      <c r="T181" s="248"/>
      <c r="U181" s="278"/>
    </row>
    <row r="182" spans="1:21" s="262" customFormat="1" hidden="1" x14ac:dyDescent="0.25">
      <c r="A182" s="293"/>
      <c r="B182" s="290"/>
      <c r="C182" s="290"/>
      <c r="D182" s="290"/>
      <c r="E182" s="291"/>
      <c r="F182" s="291"/>
      <c r="G182" s="291">
        <v>2017</v>
      </c>
      <c r="H182" s="291"/>
      <c r="I182" s="291"/>
      <c r="J182" s="291"/>
      <c r="K182" s="291"/>
      <c r="L182" s="291">
        <f>Table1[[#This Row],[Green target threshold]]+Table1[[#This Row],[Green target threshold]]*0.5</f>
        <v>0</v>
      </c>
      <c r="M182" s="291"/>
      <c r="N182" s="291"/>
      <c r="O182" s="291"/>
      <c r="P182" s="291"/>
      <c r="Q182" s="291"/>
      <c r="R182" s="291"/>
      <c r="S182" s="291">
        <f>Table1[[#This Row],[Red target threshold]]-Table1[[#This Row],[Red target threshold]]*0.5</f>
        <v>0</v>
      </c>
      <c r="T182" s="291"/>
      <c r="U182" s="297"/>
    </row>
    <row r="183" spans="1:21" hidden="1" x14ac:dyDescent="0.25">
      <c r="A183" s="302" t="s">
        <v>560</v>
      </c>
      <c r="B183" s="337" t="s">
        <v>561</v>
      </c>
      <c r="C183" s="337" t="s">
        <v>473</v>
      </c>
      <c r="D183" s="336" t="s">
        <v>799</v>
      </c>
      <c r="E183" s="304"/>
      <c r="F183" s="304"/>
      <c r="G183" s="304">
        <v>43.73</v>
      </c>
      <c r="H183" s="305">
        <v>2017</v>
      </c>
      <c r="I183" s="305">
        <v>43.73</v>
      </c>
      <c r="J183" s="305">
        <v>2015</v>
      </c>
      <c r="K183" s="295">
        <v>12.373100000000001</v>
      </c>
      <c r="L183" s="295">
        <v>100</v>
      </c>
      <c r="M183" s="305">
        <f>AVERAGE(G184:G188)</f>
        <v>60.862000000000002</v>
      </c>
      <c r="N183" s="305"/>
      <c r="O183" s="305" t="s">
        <v>978</v>
      </c>
      <c r="P183" s="305">
        <f>(M183-K183)*0.5+K183</f>
        <v>36.617550000000001</v>
      </c>
      <c r="Q183" s="305">
        <f>K183</f>
        <v>12.373100000000001</v>
      </c>
      <c r="R183" s="305">
        <f>K183</f>
        <v>12.373100000000001</v>
      </c>
      <c r="S183" s="305">
        <v>0</v>
      </c>
      <c r="T183" s="305"/>
      <c r="U183" s="303" t="s">
        <v>770</v>
      </c>
    </row>
    <row r="184" spans="1:21" hidden="1" x14ac:dyDescent="0.25">
      <c r="A184" s="271"/>
      <c r="B184" s="173"/>
      <c r="C184" s="173"/>
      <c r="D184" s="173" t="s">
        <v>771</v>
      </c>
      <c r="E184" s="253"/>
      <c r="F184" s="254"/>
      <c r="G184" s="255">
        <v>69.75</v>
      </c>
      <c r="H184" s="305">
        <v>2017</v>
      </c>
      <c r="I184" s="248">
        <v>69.75</v>
      </c>
      <c r="J184" s="248"/>
      <c r="K184" s="248"/>
      <c r="L184" s="248">
        <f>Table1[[#This Row],[Green target threshold]]+Table1[[#This Row],[Green target threshold]]*0.5</f>
        <v>0</v>
      </c>
      <c r="M184" s="248"/>
      <c r="N184" s="248"/>
      <c r="O184" s="248"/>
      <c r="P184" s="248"/>
      <c r="Q184" s="248"/>
      <c r="R184" s="248"/>
      <c r="S184" s="248">
        <f>Table1[[#This Row],[Red target threshold]]-Table1[[#This Row],[Red target threshold]]*0.5</f>
        <v>0</v>
      </c>
      <c r="T184" s="248"/>
      <c r="U184" s="278"/>
    </row>
    <row r="185" spans="1:21" hidden="1" x14ac:dyDescent="0.25">
      <c r="A185" s="271"/>
      <c r="B185" s="173"/>
      <c r="C185" s="173"/>
      <c r="D185" s="173" t="s">
        <v>772</v>
      </c>
      <c r="E185" s="253"/>
      <c r="F185" s="254"/>
      <c r="G185" s="255">
        <v>60.92</v>
      </c>
      <c r="H185" s="305">
        <v>2017</v>
      </c>
      <c r="I185" s="248">
        <v>60.92</v>
      </c>
      <c r="J185" s="248"/>
      <c r="K185" s="248"/>
      <c r="L185" s="248">
        <f>Table1[[#This Row],[Green target threshold]]+Table1[[#This Row],[Green target threshold]]*0.5</f>
        <v>0</v>
      </c>
      <c r="M185" s="248"/>
      <c r="N185" s="248"/>
      <c r="O185" s="248"/>
      <c r="P185" s="248"/>
      <c r="Q185" s="248"/>
      <c r="R185" s="248"/>
      <c r="S185" s="248">
        <f>Table1[[#This Row],[Red target threshold]]-Table1[[#This Row],[Red target threshold]]*0.5</f>
        <v>0</v>
      </c>
      <c r="T185" s="248"/>
      <c r="U185" s="278"/>
    </row>
    <row r="186" spans="1:21" hidden="1" x14ac:dyDescent="0.25">
      <c r="A186" s="271"/>
      <c r="B186" s="173"/>
      <c r="C186" s="173"/>
      <c r="D186" s="173" t="s">
        <v>715</v>
      </c>
      <c r="E186" s="253"/>
      <c r="F186" s="254"/>
      <c r="G186" s="255">
        <v>60.43</v>
      </c>
      <c r="H186" s="305">
        <v>2017</v>
      </c>
      <c r="I186" s="248">
        <v>60.43</v>
      </c>
      <c r="J186" s="248"/>
      <c r="K186" s="248"/>
      <c r="L186" s="248">
        <f>Table1[[#This Row],[Green target threshold]]+Table1[[#This Row],[Green target threshold]]*0.5</f>
        <v>0</v>
      </c>
      <c r="M186" s="248"/>
      <c r="N186" s="248"/>
      <c r="O186" s="248"/>
      <c r="P186" s="248"/>
      <c r="Q186" s="248"/>
      <c r="R186" s="248"/>
      <c r="S186" s="248">
        <f>Table1[[#This Row],[Red target threshold]]-Table1[[#This Row],[Red target threshold]]*0.5</f>
        <v>0</v>
      </c>
      <c r="T186" s="248"/>
      <c r="U186" s="278"/>
    </row>
    <row r="187" spans="1:21" hidden="1" x14ac:dyDescent="0.25">
      <c r="A187" s="271"/>
      <c r="B187" s="173"/>
      <c r="C187" s="173"/>
      <c r="D187" s="173" t="s">
        <v>773</v>
      </c>
      <c r="E187" s="253"/>
      <c r="F187" s="254"/>
      <c r="G187" s="255">
        <v>57.58</v>
      </c>
      <c r="H187" s="305">
        <v>2017</v>
      </c>
      <c r="I187" s="248">
        <v>57.58</v>
      </c>
      <c r="J187" s="248"/>
      <c r="K187" s="248"/>
      <c r="L187" s="248">
        <f>Table1[[#This Row],[Green target threshold]]+Table1[[#This Row],[Green target threshold]]*0.5</f>
        <v>0</v>
      </c>
      <c r="M187" s="248"/>
      <c r="N187" s="248"/>
      <c r="O187" s="248"/>
      <c r="P187" s="248"/>
      <c r="Q187" s="248"/>
      <c r="R187" s="248"/>
      <c r="S187" s="248">
        <f>Table1[[#This Row],[Red target threshold]]-Table1[[#This Row],[Red target threshold]]*0.5</f>
        <v>0</v>
      </c>
      <c r="T187" s="248"/>
      <c r="U187" s="278"/>
    </row>
    <row r="188" spans="1:21" hidden="1" x14ac:dyDescent="0.25">
      <c r="A188" s="271"/>
      <c r="B188" s="173"/>
      <c r="C188" s="173"/>
      <c r="D188" s="173" t="s">
        <v>774</v>
      </c>
      <c r="E188" s="253"/>
      <c r="F188" s="254"/>
      <c r="G188" s="255">
        <v>55.63</v>
      </c>
      <c r="H188" s="305">
        <v>2017</v>
      </c>
      <c r="I188" s="248">
        <v>55.63</v>
      </c>
      <c r="J188" s="248"/>
      <c r="K188" s="248"/>
      <c r="L188" s="248">
        <f>Table1[[#This Row],[Green target threshold]]+Table1[[#This Row],[Green target threshold]]*0.5</f>
        <v>0</v>
      </c>
      <c r="M188" s="248"/>
      <c r="N188" s="248"/>
      <c r="O188" s="248"/>
      <c r="P188" s="248"/>
      <c r="Q188" s="248"/>
      <c r="R188" s="248"/>
      <c r="S188" s="248">
        <f>Table1[[#This Row],[Red target threshold]]-Table1[[#This Row],[Red target threshold]]*0.5</f>
        <v>0</v>
      </c>
      <c r="T188" s="248"/>
      <c r="U188" s="278"/>
    </row>
    <row r="189" spans="1:21" hidden="1" x14ac:dyDescent="0.25">
      <c r="A189" s="271"/>
      <c r="B189" s="173"/>
      <c r="C189" s="173"/>
      <c r="D189" s="173" t="s">
        <v>777</v>
      </c>
      <c r="E189" s="256"/>
      <c r="F189" s="257"/>
      <c r="G189" s="258">
        <v>17.95</v>
      </c>
      <c r="H189" s="305">
        <v>2017</v>
      </c>
      <c r="I189" s="248">
        <v>17.95</v>
      </c>
      <c r="J189" s="248"/>
      <c r="K189" s="248"/>
      <c r="L189" s="248">
        <f>Table1[[#This Row],[Green target threshold]]+Table1[[#This Row],[Green target threshold]]*0.5</f>
        <v>0</v>
      </c>
      <c r="M189" s="248"/>
      <c r="N189" s="248"/>
      <c r="O189" s="248"/>
      <c r="P189" s="248"/>
      <c r="Q189" s="248"/>
      <c r="R189" s="248"/>
      <c r="S189" s="248">
        <f>Table1[[#This Row],[Red target threshold]]-Table1[[#This Row],[Red target threshold]]*0.5</f>
        <v>0</v>
      </c>
      <c r="T189" s="248"/>
      <c r="U189" s="278"/>
    </row>
    <row r="190" spans="1:21" hidden="1" x14ac:dyDescent="0.25">
      <c r="A190" s="271"/>
      <c r="B190" s="173"/>
      <c r="C190" s="173"/>
      <c r="D190" s="173" t="s">
        <v>778</v>
      </c>
      <c r="E190" s="256"/>
      <c r="F190" s="257"/>
      <c r="G190" s="258">
        <v>16.63</v>
      </c>
      <c r="H190" s="305">
        <v>2017</v>
      </c>
      <c r="I190" s="248">
        <v>16.63</v>
      </c>
      <c r="J190" s="248"/>
      <c r="K190" s="248"/>
      <c r="L190" s="248">
        <f>Table1[[#This Row],[Green target threshold]]+Table1[[#This Row],[Green target threshold]]*0.5</f>
        <v>0</v>
      </c>
      <c r="M190" s="248"/>
      <c r="N190" s="248"/>
      <c r="O190" s="248"/>
      <c r="P190" s="248"/>
      <c r="Q190" s="248"/>
      <c r="R190" s="248"/>
      <c r="S190" s="248">
        <f>Table1[[#This Row],[Red target threshold]]-Table1[[#This Row],[Red target threshold]]*0.5</f>
        <v>0</v>
      </c>
      <c r="T190" s="248"/>
      <c r="U190" s="278"/>
    </row>
    <row r="191" spans="1:21" hidden="1" x14ac:dyDescent="0.25">
      <c r="A191" s="271"/>
      <c r="B191" s="173"/>
      <c r="C191" s="173"/>
      <c r="D191" s="173" t="s">
        <v>775</v>
      </c>
      <c r="E191" s="256"/>
      <c r="F191" s="257"/>
      <c r="G191" s="258">
        <v>16.13</v>
      </c>
      <c r="H191" s="305">
        <v>2017</v>
      </c>
      <c r="I191" s="248">
        <v>16.13</v>
      </c>
      <c r="J191" s="248"/>
      <c r="K191" s="248"/>
      <c r="L191" s="248">
        <f>Table1[[#This Row],[Green target threshold]]+Table1[[#This Row],[Green target threshold]]*0.5</f>
        <v>0</v>
      </c>
      <c r="M191" s="248"/>
      <c r="N191" s="248"/>
      <c r="O191" s="248"/>
      <c r="P191" s="248"/>
      <c r="Q191" s="248"/>
      <c r="R191" s="248"/>
      <c r="S191" s="248">
        <f>Table1[[#This Row],[Red target threshold]]-Table1[[#This Row],[Red target threshold]]*0.5</f>
        <v>0</v>
      </c>
      <c r="T191" s="248"/>
      <c r="U191" s="278"/>
    </row>
    <row r="192" spans="1:21" hidden="1" x14ac:dyDescent="0.25">
      <c r="A192" s="271"/>
      <c r="B192" s="173"/>
      <c r="C192" s="173"/>
      <c r="D192" s="173" t="s">
        <v>691</v>
      </c>
      <c r="E192" s="256"/>
      <c r="F192" s="257"/>
      <c r="G192" s="258">
        <v>13.9</v>
      </c>
      <c r="H192" s="305">
        <v>2017</v>
      </c>
      <c r="I192" s="248">
        <v>13.9</v>
      </c>
      <c r="J192" s="248"/>
      <c r="K192" s="248"/>
      <c r="L192" s="248">
        <f>Table1[[#This Row],[Green target threshold]]+Table1[[#This Row],[Green target threshold]]*0.5</f>
        <v>0</v>
      </c>
      <c r="M192" s="248"/>
      <c r="N192" s="248"/>
      <c r="O192" s="248"/>
      <c r="P192" s="248"/>
      <c r="Q192" s="248"/>
      <c r="R192" s="248"/>
      <c r="S192" s="248">
        <f>Table1[[#This Row],[Red target threshold]]-Table1[[#This Row],[Red target threshold]]*0.5</f>
        <v>0</v>
      </c>
      <c r="T192" s="248"/>
      <c r="U192" s="278"/>
    </row>
    <row r="193" spans="1:23" hidden="1" x14ac:dyDescent="0.25">
      <c r="A193" s="271"/>
      <c r="B193" s="173"/>
      <c r="C193" s="173"/>
      <c r="D193" s="173" t="s">
        <v>776</v>
      </c>
      <c r="E193" s="256"/>
      <c r="F193" s="257"/>
      <c r="G193" s="258">
        <v>6.01</v>
      </c>
      <c r="H193" s="305">
        <v>2017</v>
      </c>
      <c r="I193" s="248">
        <v>6.01</v>
      </c>
      <c r="J193" s="248"/>
      <c r="K193" s="248"/>
      <c r="L193" s="248">
        <f>Table1[[#This Row],[Green target threshold]]+Table1[[#This Row],[Green target threshold]]*0.5</f>
        <v>0</v>
      </c>
      <c r="M193" s="248"/>
      <c r="N193" s="248"/>
      <c r="O193" s="248"/>
      <c r="P193" s="248"/>
      <c r="Q193" s="248"/>
      <c r="R193" s="248"/>
      <c r="S193" s="248">
        <f>Table1[[#This Row],[Red target threshold]]-Table1[[#This Row],[Red target threshold]]*0.5</f>
        <v>0</v>
      </c>
      <c r="T193" s="248"/>
      <c r="U193" s="278"/>
    </row>
    <row r="194" spans="1:23" s="262" customFormat="1" hidden="1" x14ac:dyDescent="0.25">
      <c r="A194" s="293"/>
      <c r="B194" s="290"/>
      <c r="C194" s="290"/>
      <c r="D194" s="290"/>
      <c r="E194" s="291">
        <v>2017</v>
      </c>
      <c r="F194" s="291">
        <v>2018</v>
      </c>
      <c r="G194" s="291">
        <v>2019</v>
      </c>
      <c r="H194" s="291"/>
      <c r="I194" s="291"/>
      <c r="J194" s="291"/>
      <c r="K194" s="291"/>
      <c r="L194" s="291">
        <f>Table1[[#This Row],[Green target threshold]]+Table1[[#This Row],[Green target threshold]]*0.5</f>
        <v>0</v>
      </c>
      <c r="M194" s="291"/>
      <c r="N194" s="291"/>
      <c r="O194" s="291"/>
      <c r="P194" s="291"/>
      <c r="Q194" s="291"/>
      <c r="R194" s="291"/>
      <c r="S194" s="291">
        <f>Table1[[#This Row],[Red target threshold]]-Table1[[#This Row],[Red target threshold]]*0.5</f>
        <v>0</v>
      </c>
      <c r="T194" s="291"/>
      <c r="U194" s="297"/>
    </row>
    <row r="195" spans="1:23" hidden="1" x14ac:dyDescent="0.25">
      <c r="A195" s="302" t="s">
        <v>735</v>
      </c>
      <c r="B195" s="337" t="s">
        <v>1080</v>
      </c>
      <c r="C195" s="337" t="s">
        <v>473</v>
      </c>
      <c r="D195" s="336" t="s">
        <v>904</v>
      </c>
      <c r="E195" s="304">
        <f>((490.2)/(4607+3141.9+3718.4+490.2))*100</f>
        <v>4.099519130252979</v>
      </c>
      <c r="F195" s="304">
        <f>(561.3/(4662.1+3309.4+3772.1+561.3))*100</f>
        <v>4.561597412412941</v>
      </c>
      <c r="G195" s="304">
        <f>(28.98/(193.03+141.45+157.86+28.98))*100</f>
        <v>5.5589657024476322</v>
      </c>
      <c r="H195" s="305">
        <v>2019</v>
      </c>
      <c r="I195" s="305">
        <v>5.5589657024476322</v>
      </c>
      <c r="J195" s="305">
        <v>2015</v>
      </c>
      <c r="K195" s="295">
        <v>5.5293799999999997</v>
      </c>
      <c r="L195" s="295">
        <v>100</v>
      </c>
      <c r="M195" s="305">
        <v>17</v>
      </c>
      <c r="N195" s="305"/>
      <c r="O195" s="305" t="s">
        <v>985</v>
      </c>
      <c r="P195" s="305">
        <f>(M195-K195)*0.5+K195</f>
        <v>11.26469</v>
      </c>
      <c r="Q195" s="305">
        <f>K195</f>
        <v>5.5293799999999997</v>
      </c>
      <c r="R195" s="305">
        <f>K195</f>
        <v>5.5293799999999997</v>
      </c>
      <c r="S195" s="305">
        <v>0</v>
      </c>
      <c r="T195" s="421" t="s">
        <v>1128</v>
      </c>
      <c r="U195" s="303" t="s">
        <v>688</v>
      </c>
      <c r="V195" s="251" t="s">
        <v>738</v>
      </c>
      <c r="W195" s="30" t="s">
        <v>1082</v>
      </c>
    </row>
    <row r="196" spans="1:23" hidden="1" x14ac:dyDescent="0.25">
      <c r="A196" s="271"/>
      <c r="B196" s="173"/>
      <c r="C196" s="173"/>
      <c r="D196" s="173"/>
      <c r="E196" s="253"/>
      <c r="F196" s="254"/>
      <c r="G196" s="255"/>
      <c r="H196" s="305"/>
      <c r="I196" s="248"/>
      <c r="J196" s="248"/>
      <c r="K196" s="248"/>
      <c r="L196" s="248">
        <f>Table1[[#This Row],[Green target threshold]]+Table1[[#This Row],[Green target threshold]]*0.5</f>
        <v>0</v>
      </c>
      <c r="M196" s="248"/>
      <c r="N196" s="248"/>
      <c r="O196" s="248"/>
      <c r="P196" s="248"/>
      <c r="Q196" s="248"/>
      <c r="R196" s="248"/>
      <c r="S196" s="248">
        <f>Table1[[#This Row],[Red target threshold]]-Table1[[#This Row],[Red target threshold]]*0.5</f>
        <v>0</v>
      </c>
      <c r="T196" s="248"/>
      <c r="U196" s="283"/>
    </row>
    <row r="197" spans="1:23" hidden="1" x14ac:dyDescent="0.25">
      <c r="A197" s="271"/>
      <c r="B197" s="173"/>
      <c r="C197" s="173"/>
      <c r="D197" s="173"/>
      <c r="E197" s="253"/>
      <c r="F197" s="254"/>
      <c r="G197" s="255"/>
      <c r="H197" s="305"/>
      <c r="I197" s="248"/>
      <c r="J197" s="248"/>
      <c r="K197" s="248"/>
      <c r="L197" s="248">
        <f>Table1[[#This Row],[Green target threshold]]+Table1[[#This Row],[Green target threshold]]*0.5</f>
        <v>0</v>
      </c>
      <c r="M197" s="248"/>
      <c r="N197" s="248"/>
      <c r="O197" s="248"/>
      <c r="P197" s="248"/>
      <c r="Q197" s="248"/>
      <c r="R197" s="248"/>
      <c r="S197" s="248">
        <f>Table1[[#This Row],[Red target threshold]]-Table1[[#This Row],[Red target threshold]]*0.5</f>
        <v>0</v>
      </c>
      <c r="T197" s="248"/>
      <c r="U197" s="278"/>
    </row>
    <row r="198" spans="1:23" hidden="1" x14ac:dyDescent="0.25">
      <c r="A198" s="271"/>
      <c r="B198" s="173"/>
      <c r="C198" s="173"/>
      <c r="D198" s="173"/>
      <c r="E198" s="253"/>
      <c r="F198" s="254"/>
      <c r="G198" s="255"/>
      <c r="H198" s="305"/>
      <c r="I198" s="248"/>
      <c r="J198" s="248"/>
      <c r="K198" s="248"/>
      <c r="L198" s="248">
        <f>Table1[[#This Row],[Green target threshold]]+Table1[[#This Row],[Green target threshold]]*0.5</f>
        <v>0</v>
      </c>
      <c r="M198" s="248"/>
      <c r="N198" s="248"/>
      <c r="O198" s="248"/>
      <c r="P198" s="248"/>
      <c r="Q198" s="248"/>
      <c r="R198" s="248"/>
      <c r="S198" s="248">
        <f>Table1[[#This Row],[Red target threshold]]-Table1[[#This Row],[Red target threshold]]*0.5</f>
        <v>0</v>
      </c>
      <c r="T198" s="248"/>
      <c r="U198" s="278"/>
    </row>
    <row r="199" spans="1:23" hidden="1" x14ac:dyDescent="0.25">
      <c r="A199" s="271"/>
      <c r="B199" s="173"/>
      <c r="C199" s="173"/>
      <c r="D199" s="173"/>
      <c r="E199" s="253"/>
      <c r="F199" s="254"/>
      <c r="G199" s="255"/>
      <c r="H199" s="305"/>
      <c r="I199" s="248"/>
      <c r="J199" s="248"/>
      <c r="K199" s="248"/>
      <c r="L199" s="248">
        <f>Table1[[#This Row],[Green target threshold]]+Table1[[#This Row],[Green target threshold]]*0.5</f>
        <v>0</v>
      </c>
      <c r="M199" s="248"/>
      <c r="N199" s="248"/>
      <c r="O199" s="248"/>
      <c r="P199" s="248"/>
      <c r="Q199" s="248"/>
      <c r="R199" s="248"/>
      <c r="S199" s="248">
        <f>Table1[[#This Row],[Red target threshold]]-Table1[[#This Row],[Red target threshold]]*0.5</f>
        <v>0</v>
      </c>
      <c r="T199" s="248"/>
      <c r="U199" s="278"/>
    </row>
    <row r="200" spans="1:23" hidden="1" x14ac:dyDescent="0.25">
      <c r="A200" s="271"/>
      <c r="B200" s="173"/>
      <c r="C200" s="173"/>
      <c r="D200" s="173"/>
      <c r="E200" s="253"/>
      <c r="F200" s="254"/>
      <c r="G200" s="255"/>
      <c r="H200" s="305"/>
      <c r="I200" s="248"/>
      <c r="J200" s="248"/>
      <c r="K200" s="248"/>
      <c r="L200" s="248">
        <f>Table1[[#This Row],[Green target threshold]]+Table1[[#This Row],[Green target threshold]]*0.5</f>
        <v>0</v>
      </c>
      <c r="M200" s="248"/>
      <c r="N200" s="248"/>
      <c r="O200" s="248"/>
      <c r="P200" s="248"/>
      <c r="Q200" s="248"/>
      <c r="R200" s="248"/>
      <c r="S200" s="248">
        <f>Table1[[#This Row],[Red target threshold]]-Table1[[#This Row],[Red target threshold]]*0.5</f>
        <v>0</v>
      </c>
      <c r="T200" s="248"/>
      <c r="U200" s="278"/>
    </row>
    <row r="201" spans="1:23" hidden="1" x14ac:dyDescent="0.25">
      <c r="A201" s="271"/>
      <c r="B201" s="173"/>
      <c r="C201" s="173"/>
      <c r="D201" s="173"/>
      <c r="E201" s="256"/>
      <c r="F201" s="257"/>
      <c r="G201" s="258"/>
      <c r="H201" s="305"/>
      <c r="I201" s="248"/>
      <c r="J201" s="248"/>
      <c r="K201" s="248"/>
      <c r="L201" s="248">
        <f>Table1[[#This Row],[Green target threshold]]+Table1[[#This Row],[Green target threshold]]*0.5</f>
        <v>0</v>
      </c>
      <c r="M201" s="248"/>
      <c r="N201" s="248"/>
      <c r="O201" s="248"/>
      <c r="P201" s="248"/>
      <c r="Q201" s="248"/>
      <c r="R201" s="248"/>
      <c r="S201" s="248">
        <f>Table1[[#This Row],[Red target threshold]]-Table1[[#This Row],[Red target threshold]]*0.5</f>
        <v>0</v>
      </c>
      <c r="T201" s="248"/>
      <c r="U201" s="278"/>
    </row>
    <row r="202" spans="1:23" hidden="1" x14ac:dyDescent="0.25">
      <c r="A202" s="271"/>
      <c r="B202" s="173"/>
      <c r="C202" s="173"/>
      <c r="D202" s="173"/>
      <c r="E202" s="256"/>
      <c r="F202" s="257"/>
      <c r="G202" s="258"/>
      <c r="H202" s="305"/>
      <c r="I202" s="248"/>
      <c r="J202" s="248"/>
      <c r="K202" s="248"/>
      <c r="L202" s="248">
        <f>Table1[[#This Row],[Green target threshold]]+Table1[[#This Row],[Green target threshold]]*0.5</f>
        <v>0</v>
      </c>
      <c r="M202" s="248"/>
      <c r="N202" s="248"/>
      <c r="O202" s="248"/>
      <c r="P202" s="248"/>
      <c r="Q202" s="248"/>
      <c r="R202" s="248"/>
      <c r="S202" s="248">
        <f>Table1[[#This Row],[Red target threshold]]-Table1[[#This Row],[Red target threshold]]*0.5</f>
        <v>0</v>
      </c>
      <c r="T202" s="248"/>
      <c r="U202" s="278"/>
    </row>
    <row r="203" spans="1:23" hidden="1" x14ac:dyDescent="0.25">
      <c r="A203" s="271"/>
      <c r="B203" s="173"/>
      <c r="C203" s="173"/>
      <c r="D203" s="173"/>
      <c r="E203" s="256"/>
      <c r="F203" s="257"/>
      <c r="G203" s="258"/>
      <c r="H203" s="305"/>
      <c r="I203" s="248"/>
      <c r="J203" s="248"/>
      <c r="K203" s="248"/>
      <c r="L203" s="248">
        <f>Table1[[#This Row],[Green target threshold]]+Table1[[#This Row],[Green target threshold]]*0.5</f>
        <v>0</v>
      </c>
      <c r="M203" s="248"/>
      <c r="N203" s="248"/>
      <c r="O203" s="248"/>
      <c r="P203" s="248"/>
      <c r="Q203" s="248"/>
      <c r="R203" s="248"/>
      <c r="S203" s="248">
        <f>Table1[[#This Row],[Red target threshold]]-Table1[[#This Row],[Red target threshold]]*0.5</f>
        <v>0</v>
      </c>
      <c r="T203" s="248"/>
      <c r="U203" s="278"/>
    </row>
    <row r="204" spans="1:23" hidden="1" x14ac:dyDescent="0.25">
      <c r="A204" s="271"/>
      <c r="B204" s="173"/>
      <c r="C204" s="173"/>
      <c r="D204" s="173"/>
      <c r="E204" s="256"/>
      <c r="F204" s="257"/>
      <c r="G204" s="258"/>
      <c r="H204" s="305"/>
      <c r="I204" s="248"/>
      <c r="J204" s="248"/>
      <c r="K204" s="248"/>
      <c r="L204" s="248">
        <f>Table1[[#This Row],[Green target threshold]]+Table1[[#This Row],[Green target threshold]]*0.5</f>
        <v>0</v>
      </c>
      <c r="M204" s="248"/>
      <c r="N204" s="248"/>
      <c r="O204" s="248"/>
      <c r="P204" s="248"/>
      <c r="Q204" s="248"/>
      <c r="R204" s="248"/>
      <c r="S204" s="248">
        <f>Table1[[#This Row],[Red target threshold]]-Table1[[#This Row],[Red target threshold]]*0.5</f>
        <v>0</v>
      </c>
      <c r="T204" s="248"/>
      <c r="U204" s="278"/>
    </row>
    <row r="205" spans="1:23" hidden="1" x14ac:dyDescent="0.25">
      <c r="A205" s="271"/>
      <c r="B205" s="173"/>
      <c r="C205" s="173"/>
      <c r="D205" s="173"/>
      <c r="E205" s="256"/>
      <c r="F205" s="257"/>
      <c r="G205" s="258"/>
      <c r="H205" s="305"/>
      <c r="I205" s="248"/>
      <c r="J205" s="248"/>
      <c r="K205" s="248"/>
      <c r="L205" s="248">
        <f>Table1[[#This Row],[Green target threshold]]+Table1[[#This Row],[Green target threshold]]*0.5</f>
        <v>0</v>
      </c>
      <c r="M205" s="248"/>
      <c r="N205" s="248"/>
      <c r="O205" s="248"/>
      <c r="P205" s="248"/>
      <c r="Q205" s="248"/>
      <c r="R205" s="248"/>
      <c r="S205" s="248">
        <f>Table1[[#This Row],[Red target threshold]]-Table1[[#This Row],[Red target threshold]]*0.5</f>
        <v>0</v>
      </c>
      <c r="T205" s="248"/>
      <c r="U205" s="278"/>
    </row>
    <row r="206" spans="1:23" s="262" customFormat="1" hidden="1" x14ac:dyDescent="0.25">
      <c r="A206" s="293"/>
      <c r="B206" s="290"/>
      <c r="C206" s="290"/>
      <c r="D206" s="290"/>
      <c r="E206" s="291">
        <v>2012</v>
      </c>
      <c r="F206" s="291">
        <v>2013</v>
      </c>
      <c r="G206" s="291">
        <v>2014</v>
      </c>
      <c r="H206" s="291"/>
      <c r="I206" s="291"/>
      <c r="J206" s="291"/>
      <c r="K206" s="291"/>
      <c r="L206" s="291">
        <f>Table1[[#This Row],[Green target threshold]]+Table1[[#This Row],[Green target threshold]]*0.5</f>
        <v>0</v>
      </c>
      <c r="M206" s="291"/>
      <c r="N206" s="291"/>
      <c r="O206" s="291"/>
      <c r="P206" s="291"/>
      <c r="Q206" s="291"/>
      <c r="R206" s="291"/>
      <c r="S206" s="291">
        <f>Table1[[#This Row],[Red target threshold]]-Table1[[#This Row],[Red target threshold]]*0.5</f>
        <v>0</v>
      </c>
      <c r="T206" s="291"/>
      <c r="U206" s="300"/>
    </row>
    <row r="207" spans="1:23" hidden="1" x14ac:dyDescent="0.25">
      <c r="A207" s="302" t="s">
        <v>736</v>
      </c>
      <c r="B207" s="337" t="s">
        <v>1078</v>
      </c>
      <c r="C207" s="337" t="s">
        <v>473</v>
      </c>
      <c r="D207" s="336" t="s">
        <v>904</v>
      </c>
      <c r="E207" s="304">
        <f>((4607+3141.9+3718.4)/(4607+3141.9+3718.4+490.2))*100</f>
        <v>95.900480869747014</v>
      </c>
      <c r="F207" s="304">
        <f>((4662.1+3309.4+3772.1)/(4662.1+3309.4+3772.1+561.3))*100</f>
        <v>95.438402587587063</v>
      </c>
      <c r="G207" s="304">
        <f>((193.03+141.45+157.86)/(193.03+141.45+157.86+28.98))*100</f>
        <v>94.441034297552363</v>
      </c>
      <c r="H207" s="305">
        <v>2014</v>
      </c>
      <c r="I207" s="305">
        <v>80.900000000000006</v>
      </c>
      <c r="J207" s="305">
        <v>2015</v>
      </c>
      <c r="K207" s="295">
        <v>93.835099999999997</v>
      </c>
      <c r="L207" s="295">
        <v>0</v>
      </c>
      <c r="M207" s="305">
        <v>76</v>
      </c>
      <c r="N207" s="305"/>
      <c r="O207" s="421" t="s">
        <v>985</v>
      </c>
      <c r="P207" s="305">
        <f>(M207-K207)*0.5+K207</f>
        <v>84.917550000000006</v>
      </c>
      <c r="Q207" s="305">
        <f>K207</f>
        <v>93.835099999999997</v>
      </c>
      <c r="R207" s="305">
        <f>K207</f>
        <v>93.835099999999997</v>
      </c>
      <c r="S207" s="305">
        <v>100</v>
      </c>
      <c r="T207" s="421" t="s">
        <v>1129</v>
      </c>
      <c r="U207" s="30" t="s">
        <v>1082</v>
      </c>
      <c r="V207" s="311" t="s">
        <v>739</v>
      </c>
    </row>
    <row r="208" spans="1:23" hidden="1" x14ac:dyDescent="0.25">
      <c r="A208" s="271"/>
      <c r="B208" s="173"/>
      <c r="C208" s="173"/>
      <c r="D208" s="173"/>
      <c r="E208" s="253"/>
      <c r="F208" s="254"/>
      <c r="G208" s="255"/>
      <c r="H208" s="305">
        <v>2014</v>
      </c>
      <c r="I208" s="248">
        <v>100</v>
      </c>
      <c r="J208" s="248"/>
      <c r="K208" s="248"/>
      <c r="L208" s="248">
        <f>Table1[[#This Row],[Green target threshold]]+Table1[[#This Row],[Green target threshold]]*0.5</f>
        <v>0</v>
      </c>
      <c r="M208" s="248"/>
      <c r="N208" s="248"/>
      <c r="O208" s="248"/>
      <c r="P208" s="248"/>
      <c r="Q208" s="248"/>
      <c r="R208" s="248"/>
      <c r="S208" s="248">
        <f>Table1[[#This Row],[Red target threshold]]-Table1[[#This Row],[Red target threshold]]*0.5</f>
        <v>0</v>
      </c>
      <c r="T208" s="248"/>
      <c r="U208" s="278"/>
    </row>
    <row r="209" spans="1:22" hidden="1" x14ac:dyDescent="0.25">
      <c r="A209" s="271"/>
      <c r="B209" s="173"/>
      <c r="C209" s="173"/>
      <c r="D209" s="173"/>
      <c r="E209" s="253"/>
      <c r="F209" s="254"/>
      <c r="G209" s="255"/>
      <c r="H209" s="305">
        <v>2014</v>
      </c>
      <c r="I209" s="248">
        <v>99.9</v>
      </c>
      <c r="J209" s="248"/>
      <c r="K209" s="248"/>
      <c r="L209" s="248">
        <f>Table1[[#This Row],[Green target threshold]]+Table1[[#This Row],[Green target threshold]]*0.5</f>
        <v>0</v>
      </c>
      <c r="M209" s="248"/>
      <c r="N209" s="248"/>
      <c r="O209" s="248"/>
      <c r="P209" s="248"/>
      <c r="Q209" s="248"/>
      <c r="R209" s="248"/>
      <c r="S209" s="248">
        <f>Table1[[#This Row],[Red target threshold]]-Table1[[#This Row],[Red target threshold]]*0.5</f>
        <v>0</v>
      </c>
      <c r="T209" s="248"/>
      <c r="U209" s="278"/>
    </row>
    <row r="210" spans="1:22" hidden="1" x14ac:dyDescent="0.25">
      <c r="A210" s="271"/>
      <c r="B210" s="173"/>
      <c r="C210" s="173"/>
      <c r="D210" s="173"/>
      <c r="E210" s="253"/>
      <c r="F210" s="254"/>
      <c r="G210" s="255"/>
      <c r="H210" s="305">
        <v>2014</v>
      </c>
      <c r="I210" s="248">
        <v>99.2</v>
      </c>
      <c r="J210" s="248"/>
      <c r="K210" s="248"/>
      <c r="L210" s="248">
        <f>Table1[[#This Row],[Green target threshold]]+Table1[[#This Row],[Green target threshold]]*0.5</f>
        <v>0</v>
      </c>
      <c r="M210" s="248"/>
      <c r="N210" s="248"/>
      <c r="O210" s="248"/>
      <c r="P210" s="248"/>
      <c r="Q210" s="248"/>
      <c r="R210" s="248"/>
      <c r="S210" s="248">
        <f>Table1[[#This Row],[Red target threshold]]-Table1[[#This Row],[Red target threshold]]*0.5</f>
        <v>0</v>
      </c>
      <c r="T210" s="248"/>
      <c r="U210" s="278"/>
    </row>
    <row r="211" spans="1:22" hidden="1" x14ac:dyDescent="0.25">
      <c r="A211" s="271"/>
      <c r="B211" s="173"/>
      <c r="C211" s="173"/>
      <c r="D211" s="173"/>
      <c r="E211" s="253"/>
      <c r="F211" s="254"/>
      <c r="G211" s="255"/>
      <c r="H211" s="305">
        <v>2014</v>
      </c>
      <c r="I211" s="248">
        <v>99</v>
      </c>
      <c r="J211" s="248"/>
      <c r="K211" s="248"/>
      <c r="L211" s="248">
        <f>Table1[[#This Row],[Green target threshold]]+Table1[[#This Row],[Green target threshold]]*0.5</f>
        <v>0</v>
      </c>
      <c r="M211" s="248"/>
      <c r="N211" s="248"/>
      <c r="O211" s="248"/>
      <c r="P211" s="248"/>
      <c r="Q211" s="248"/>
      <c r="R211" s="248"/>
      <c r="S211" s="248">
        <f>Table1[[#This Row],[Red target threshold]]-Table1[[#This Row],[Red target threshold]]*0.5</f>
        <v>0</v>
      </c>
      <c r="T211" s="248"/>
      <c r="U211" s="278"/>
    </row>
    <row r="212" spans="1:22" hidden="1" x14ac:dyDescent="0.25">
      <c r="A212" s="271"/>
      <c r="B212" s="173"/>
      <c r="C212" s="173"/>
      <c r="D212" s="173"/>
      <c r="E212" s="253"/>
      <c r="F212" s="254"/>
      <c r="G212" s="255"/>
      <c r="H212" s="305">
        <v>2014</v>
      </c>
      <c r="I212" s="248">
        <v>98.4</v>
      </c>
      <c r="J212" s="248"/>
      <c r="K212" s="248"/>
      <c r="L212" s="248">
        <f>Table1[[#This Row],[Green target threshold]]+Table1[[#This Row],[Green target threshold]]*0.5</f>
        <v>0</v>
      </c>
      <c r="M212" s="248"/>
      <c r="N212" s="248"/>
      <c r="O212" s="248"/>
      <c r="P212" s="248"/>
      <c r="Q212" s="248"/>
      <c r="R212" s="248"/>
      <c r="S212" s="248">
        <f>Table1[[#This Row],[Red target threshold]]-Table1[[#This Row],[Red target threshold]]*0.5</f>
        <v>0</v>
      </c>
      <c r="T212" s="248"/>
      <c r="U212" s="278"/>
    </row>
    <row r="213" spans="1:22" hidden="1" x14ac:dyDescent="0.25">
      <c r="A213" s="271"/>
      <c r="B213" s="173"/>
      <c r="C213" s="173"/>
      <c r="D213" s="173"/>
      <c r="E213" s="256"/>
      <c r="F213" s="257"/>
      <c r="G213" s="258"/>
      <c r="H213" s="305">
        <v>2014</v>
      </c>
      <c r="I213" s="248">
        <v>10.9</v>
      </c>
      <c r="J213" s="248"/>
      <c r="K213" s="248"/>
      <c r="L213" s="248">
        <f>Table1[[#This Row],[Green target threshold]]+Table1[[#This Row],[Green target threshold]]*0.5</f>
        <v>0</v>
      </c>
      <c r="M213" s="248"/>
      <c r="N213" s="248"/>
      <c r="O213" s="248"/>
      <c r="P213" s="248"/>
      <c r="Q213" s="248"/>
      <c r="R213" s="248"/>
      <c r="S213" s="248">
        <f>Table1[[#This Row],[Red target threshold]]-Table1[[#This Row],[Red target threshold]]*0.5</f>
        <v>0</v>
      </c>
      <c r="T213" s="248"/>
      <c r="U213" s="278"/>
    </row>
    <row r="214" spans="1:22" hidden="1" x14ac:dyDescent="0.25">
      <c r="A214" s="271"/>
      <c r="B214" s="173"/>
      <c r="C214" s="173"/>
      <c r="D214" s="173"/>
      <c r="E214" s="256"/>
      <c r="F214" s="257"/>
      <c r="G214" s="258"/>
      <c r="H214" s="305">
        <v>2014</v>
      </c>
      <c r="I214" s="248">
        <v>17.399999999999999</v>
      </c>
      <c r="J214" s="248"/>
      <c r="K214" s="248"/>
      <c r="L214" s="248">
        <f>Table1[[#This Row],[Green target threshold]]+Table1[[#This Row],[Green target threshold]]*0.5</f>
        <v>0</v>
      </c>
      <c r="M214" s="248"/>
      <c r="N214" s="248"/>
      <c r="O214" s="248"/>
      <c r="P214" s="248"/>
      <c r="Q214" s="248"/>
      <c r="R214" s="248"/>
      <c r="S214" s="248">
        <f>Table1[[#This Row],[Red target threshold]]-Table1[[#This Row],[Red target threshold]]*0.5</f>
        <v>0</v>
      </c>
      <c r="T214" s="248"/>
      <c r="U214" s="278"/>
    </row>
    <row r="215" spans="1:22" hidden="1" x14ac:dyDescent="0.25">
      <c r="A215" s="271"/>
      <c r="B215" s="173"/>
      <c r="C215" s="173"/>
      <c r="D215" s="173"/>
      <c r="E215" s="256"/>
      <c r="F215" s="257"/>
      <c r="G215" s="258"/>
      <c r="H215" s="305">
        <v>2014</v>
      </c>
      <c r="I215" s="248">
        <v>18.899999999999999</v>
      </c>
      <c r="J215" s="248"/>
      <c r="K215" s="248"/>
      <c r="L215" s="248">
        <f>Table1[[#This Row],[Green target threshold]]+Table1[[#This Row],[Green target threshold]]*0.5</f>
        <v>0</v>
      </c>
      <c r="M215" s="248"/>
      <c r="N215" s="248"/>
      <c r="O215" s="248"/>
      <c r="P215" s="248"/>
      <c r="Q215" s="248"/>
      <c r="R215" s="248"/>
      <c r="S215" s="248">
        <f>Table1[[#This Row],[Red target threshold]]-Table1[[#This Row],[Red target threshold]]*0.5</f>
        <v>0</v>
      </c>
      <c r="T215" s="248"/>
      <c r="U215" s="278"/>
    </row>
    <row r="216" spans="1:22" hidden="1" x14ac:dyDescent="0.25">
      <c r="A216" s="271"/>
      <c r="B216" s="173"/>
      <c r="C216" s="173"/>
      <c r="D216" s="173"/>
      <c r="E216" s="256"/>
      <c r="F216" s="257"/>
      <c r="G216" s="258"/>
      <c r="H216" s="305">
        <v>2014</v>
      </c>
      <c r="I216" s="248">
        <v>29.8</v>
      </c>
      <c r="J216" s="248"/>
      <c r="K216" s="248"/>
      <c r="L216" s="248">
        <f>Table1[[#This Row],[Green target threshold]]+Table1[[#This Row],[Green target threshold]]*0.5</f>
        <v>0</v>
      </c>
      <c r="M216" s="248"/>
      <c r="N216" s="248"/>
      <c r="O216" s="248"/>
      <c r="P216" s="248"/>
      <c r="Q216" s="248"/>
      <c r="R216" s="248"/>
      <c r="S216" s="248">
        <f>Table1[[#This Row],[Red target threshold]]-Table1[[#This Row],[Red target threshold]]*0.5</f>
        <v>0</v>
      </c>
      <c r="T216" s="248"/>
      <c r="U216" s="278"/>
    </row>
    <row r="217" spans="1:22" hidden="1" x14ac:dyDescent="0.25">
      <c r="A217" s="271"/>
      <c r="B217" s="173"/>
      <c r="C217" s="173"/>
      <c r="D217" s="173"/>
      <c r="E217" s="256"/>
      <c r="F217" s="257"/>
      <c r="G217" s="258"/>
      <c r="H217" s="305">
        <v>2014</v>
      </c>
      <c r="I217" s="248">
        <v>33.700000000000003</v>
      </c>
      <c r="J217" s="248"/>
      <c r="K217" s="248"/>
      <c r="L217" s="248">
        <f>Table1[[#This Row],[Green target threshold]]+Table1[[#This Row],[Green target threshold]]*0.5</f>
        <v>0</v>
      </c>
      <c r="M217" s="248"/>
      <c r="N217" s="248"/>
      <c r="O217" s="248"/>
      <c r="P217" s="248"/>
      <c r="Q217" s="248"/>
      <c r="R217" s="248"/>
      <c r="S217" s="248">
        <f>Table1[[#This Row],[Red target threshold]]-Table1[[#This Row],[Red target threshold]]*0.5</f>
        <v>0</v>
      </c>
      <c r="T217" s="248"/>
      <c r="U217" s="278"/>
    </row>
    <row r="218" spans="1:22" s="268" customFormat="1" hidden="1" x14ac:dyDescent="0.25">
      <c r="A218" s="294"/>
      <c r="B218" s="299"/>
      <c r="C218" s="299"/>
      <c r="D218" s="299"/>
      <c r="E218" s="301">
        <v>2005</v>
      </c>
      <c r="F218" s="301">
        <v>2010</v>
      </c>
      <c r="G218" s="301">
        <v>2020</v>
      </c>
      <c r="H218" s="301"/>
      <c r="I218" s="301"/>
      <c r="J218" s="301"/>
      <c r="K218" s="301"/>
      <c r="L218" s="301">
        <f>Table1[[#This Row],[Green target threshold]]+Table1[[#This Row],[Green target threshold]]*0.5</f>
        <v>0</v>
      </c>
      <c r="M218" s="301"/>
      <c r="N218" s="301"/>
      <c r="O218" s="301"/>
      <c r="P218" s="301"/>
      <c r="Q218" s="301"/>
      <c r="R218" s="301"/>
      <c r="S218" s="301">
        <f>Table1[[#This Row],[Red target threshold]]-Table1[[#This Row],[Red target threshold]]*0.5</f>
        <v>0</v>
      </c>
      <c r="T218" s="301"/>
      <c r="U218" s="296"/>
    </row>
    <row r="219" spans="1:22" s="33" customFormat="1" hidden="1" x14ac:dyDescent="0.25">
      <c r="A219" s="302" t="s">
        <v>953</v>
      </c>
      <c r="B219" s="336" t="s">
        <v>21</v>
      </c>
      <c r="C219" s="337" t="s">
        <v>959</v>
      </c>
      <c r="D219" s="336" t="s">
        <v>1084</v>
      </c>
      <c r="E219" s="304">
        <v>1.0200000000000001E-2</v>
      </c>
      <c r="F219" s="304">
        <v>0.11550000000000001</v>
      </c>
      <c r="G219" s="304">
        <v>0.29909999999999998</v>
      </c>
      <c r="H219" s="305">
        <v>2020</v>
      </c>
      <c r="I219" s="305">
        <v>0.29909999999999998</v>
      </c>
      <c r="J219" s="305">
        <v>2015</v>
      </c>
      <c r="K219" s="295">
        <v>0.180646</v>
      </c>
      <c r="L219" s="295">
        <f>Table1[[#This Row],[Green target threshold]]+Table1[[#This Row],[Green target threshold]]*0.5</f>
        <v>3.5999999999999996</v>
      </c>
      <c r="M219" s="305">
        <v>2.4</v>
      </c>
      <c r="N219" s="305"/>
      <c r="O219" s="305" t="s">
        <v>985</v>
      </c>
      <c r="P219" s="305">
        <f>(M219-K219)*0.5+K219</f>
        <v>1.2903230000000001</v>
      </c>
      <c r="Q219" s="305">
        <f>K219</f>
        <v>0.180646</v>
      </c>
      <c r="R219" s="305">
        <f>K219</f>
        <v>0.180646</v>
      </c>
      <c r="S219" s="305">
        <f>Table1[[#This Row],[Red target threshold]]-Table1[[#This Row],[Red target threshold]]*0.5</f>
        <v>9.0323000000000001E-2</v>
      </c>
      <c r="T219" s="305" t="s">
        <v>1126</v>
      </c>
      <c r="U219" s="303" t="s">
        <v>979</v>
      </c>
      <c r="V219" s="371" t="s">
        <v>1134</v>
      </c>
    </row>
    <row r="220" spans="1:22" s="33" customFormat="1" hidden="1" x14ac:dyDescent="0.25">
      <c r="A220" s="270"/>
      <c r="B220" s="197"/>
      <c r="C220" s="197"/>
      <c r="D220" s="197"/>
      <c r="E220" s="253"/>
      <c r="F220" s="254"/>
      <c r="G220" s="255"/>
      <c r="H220" s="305"/>
      <c r="I220" s="248"/>
      <c r="J220" s="248"/>
      <c r="K220" s="248"/>
      <c r="L220" s="248">
        <f>Table1[[#This Row],[Green target threshold]]+Table1[[#This Row],[Green target threshold]]*0.5</f>
        <v>0</v>
      </c>
      <c r="M220" s="248"/>
      <c r="N220" s="248"/>
      <c r="O220" s="248"/>
      <c r="P220" s="248"/>
      <c r="Q220" s="248"/>
      <c r="R220" s="248"/>
      <c r="S220" s="248">
        <f>Table1[[#This Row],[Red target threshold]]-Table1[[#This Row],[Red target threshold]]*0.5</f>
        <v>0</v>
      </c>
      <c r="T220" s="248"/>
      <c r="U220" s="281"/>
    </row>
    <row r="221" spans="1:22" s="33" customFormat="1" hidden="1" x14ac:dyDescent="0.25">
      <c r="A221" s="270"/>
      <c r="B221" s="197"/>
      <c r="C221" s="197"/>
      <c r="D221" s="197"/>
      <c r="E221" s="253"/>
      <c r="F221" s="254"/>
      <c r="G221" s="255"/>
      <c r="H221" s="305"/>
      <c r="I221" s="248"/>
      <c r="J221" s="248"/>
      <c r="K221" s="248"/>
      <c r="L221" s="248">
        <f>Table1[[#This Row],[Green target threshold]]+Table1[[#This Row],[Green target threshold]]*0.5</f>
        <v>0</v>
      </c>
      <c r="M221" s="248"/>
      <c r="N221" s="248"/>
      <c r="O221" s="248"/>
      <c r="P221" s="248"/>
      <c r="Q221" s="248"/>
      <c r="R221" s="248"/>
      <c r="S221" s="248">
        <f>Table1[[#This Row],[Red target threshold]]-Table1[[#This Row],[Red target threshold]]*0.5</f>
        <v>0</v>
      </c>
      <c r="T221" s="248"/>
      <c r="U221" s="281"/>
    </row>
    <row r="222" spans="1:22" s="33" customFormat="1" hidden="1" x14ac:dyDescent="0.25">
      <c r="A222" s="270"/>
      <c r="B222" s="197"/>
      <c r="C222" s="197"/>
      <c r="D222" s="197"/>
      <c r="E222" s="253"/>
      <c r="F222" s="254"/>
      <c r="G222" s="255"/>
      <c r="H222" s="305"/>
      <c r="I222" s="248"/>
      <c r="J222" s="248"/>
      <c r="K222" s="248"/>
      <c r="L222" s="248">
        <f>Table1[[#This Row],[Green target threshold]]+Table1[[#This Row],[Green target threshold]]*0.5</f>
        <v>0</v>
      </c>
      <c r="M222" s="248"/>
      <c r="N222" s="248"/>
      <c r="O222" s="248"/>
      <c r="P222" s="248"/>
      <c r="Q222" s="248"/>
      <c r="R222" s="248"/>
      <c r="S222" s="248">
        <f>Table1[[#This Row],[Red target threshold]]-Table1[[#This Row],[Red target threshold]]*0.5</f>
        <v>0</v>
      </c>
      <c r="T222" s="248"/>
      <c r="U222" s="281"/>
    </row>
    <row r="223" spans="1:22" s="33" customFormat="1" hidden="1" x14ac:dyDescent="0.25">
      <c r="A223" s="270"/>
      <c r="B223" s="197"/>
      <c r="C223" s="197"/>
      <c r="D223" s="197"/>
      <c r="E223" s="253"/>
      <c r="F223" s="254"/>
      <c r="G223" s="255"/>
      <c r="H223" s="305"/>
      <c r="I223" s="248"/>
      <c r="J223" s="248"/>
      <c r="K223" s="248"/>
      <c r="L223" s="329">
        <f>Table1[[#This Row],[Green target threshold]]+Table1[[#This Row],[Green target threshold]]*0.5</f>
        <v>0</v>
      </c>
      <c r="M223" s="248"/>
      <c r="N223" s="248"/>
      <c r="O223" s="248"/>
      <c r="P223" s="329"/>
      <c r="Q223" s="329"/>
      <c r="R223" s="329"/>
      <c r="S223" s="329">
        <f>Table1[[#This Row],[Red target threshold]]-Table1[[#This Row],[Red target threshold]]*0.5</f>
        <v>0</v>
      </c>
      <c r="T223" s="248"/>
      <c r="U223" s="281"/>
    </row>
    <row r="224" spans="1:22" s="33" customFormat="1" hidden="1" x14ac:dyDescent="0.25">
      <c r="A224" s="270"/>
      <c r="B224" s="197"/>
      <c r="C224" s="197"/>
      <c r="D224" s="197"/>
      <c r="E224" s="253"/>
      <c r="F224" s="254"/>
      <c r="G224" s="255"/>
      <c r="H224" s="305"/>
      <c r="I224" s="248"/>
      <c r="J224" s="248"/>
      <c r="K224" s="248"/>
      <c r="L224" s="329">
        <f>Table1[[#This Row],[Green target threshold]]+Table1[[#This Row],[Green target threshold]]*0.5</f>
        <v>0</v>
      </c>
      <c r="M224" s="248"/>
      <c r="N224" s="248"/>
      <c r="O224" s="248"/>
      <c r="P224" s="329"/>
      <c r="Q224" s="329"/>
      <c r="R224" s="329"/>
      <c r="S224" s="329">
        <f>Table1[[#This Row],[Red target threshold]]-Table1[[#This Row],[Red target threshold]]*0.5</f>
        <v>0</v>
      </c>
      <c r="T224" s="248"/>
      <c r="U224" s="281"/>
    </row>
    <row r="225" spans="1:22" s="33" customFormat="1" hidden="1" x14ac:dyDescent="0.25">
      <c r="A225" s="270"/>
      <c r="B225" s="197"/>
      <c r="C225" s="197"/>
      <c r="D225" s="197"/>
      <c r="E225" s="256"/>
      <c r="F225" s="257"/>
      <c r="G225" s="258"/>
      <c r="H225" s="305"/>
      <c r="I225" s="248"/>
      <c r="J225" s="248"/>
      <c r="K225" s="248"/>
      <c r="L225" s="248">
        <f>Table1[[#This Row],[Green target threshold]]+Table1[[#This Row],[Green target threshold]]*0.5</f>
        <v>0</v>
      </c>
      <c r="M225" s="248"/>
      <c r="N225" s="248"/>
      <c r="O225" s="248"/>
      <c r="P225" s="248"/>
      <c r="Q225" s="248"/>
      <c r="R225" s="248"/>
      <c r="S225" s="248">
        <f>Table1[[#This Row],[Red target threshold]]-Table1[[#This Row],[Red target threshold]]*0.5</f>
        <v>0</v>
      </c>
      <c r="T225" s="248"/>
      <c r="U225" s="281"/>
    </row>
    <row r="226" spans="1:22" s="33" customFormat="1" hidden="1" x14ac:dyDescent="0.25">
      <c r="A226" s="270"/>
      <c r="B226" s="197"/>
      <c r="C226" s="197"/>
      <c r="D226" s="197"/>
      <c r="E226" s="256"/>
      <c r="F226" s="257"/>
      <c r="G226" s="258"/>
      <c r="H226" s="305"/>
      <c r="I226" s="248"/>
      <c r="J226" s="248"/>
      <c r="K226" s="248"/>
      <c r="L226" s="248">
        <f>Table1[[#This Row],[Green target threshold]]+Table1[[#This Row],[Green target threshold]]*0.5</f>
        <v>0</v>
      </c>
      <c r="M226" s="248"/>
      <c r="N226" s="248"/>
      <c r="O226" s="248"/>
      <c r="P226" s="248"/>
      <c r="Q226" s="248"/>
      <c r="R226" s="248"/>
      <c r="S226" s="248">
        <f>Table1[[#This Row],[Red target threshold]]-Table1[[#This Row],[Red target threshold]]*0.5</f>
        <v>0</v>
      </c>
      <c r="T226" s="248"/>
      <c r="U226" s="281"/>
    </row>
    <row r="227" spans="1:22" s="33" customFormat="1" hidden="1" x14ac:dyDescent="0.25">
      <c r="A227" s="270"/>
      <c r="B227" s="197"/>
      <c r="C227" s="197"/>
      <c r="D227" s="197"/>
      <c r="E227" s="256"/>
      <c r="F227" s="257"/>
      <c r="G227" s="258"/>
      <c r="H227" s="305"/>
      <c r="I227" s="248"/>
      <c r="J227" s="248"/>
      <c r="K227" s="248"/>
      <c r="L227" s="329">
        <f>Table1[[#This Row],[Green target threshold]]+Table1[[#This Row],[Green target threshold]]*0.5</f>
        <v>0</v>
      </c>
      <c r="M227" s="248"/>
      <c r="N227" s="248"/>
      <c r="O227" s="248"/>
      <c r="P227" s="329"/>
      <c r="Q227" s="329"/>
      <c r="R227" s="329"/>
      <c r="S227" s="329">
        <f>Table1[[#This Row],[Red target threshold]]-Table1[[#This Row],[Red target threshold]]*0.5</f>
        <v>0</v>
      </c>
      <c r="T227" s="248"/>
      <c r="U227" s="281"/>
    </row>
    <row r="228" spans="1:22" s="33" customFormat="1" hidden="1" x14ac:dyDescent="0.25">
      <c r="A228" s="270"/>
      <c r="B228" s="197"/>
      <c r="C228" s="197"/>
      <c r="D228" s="197"/>
      <c r="E228" s="256"/>
      <c r="F228" s="257"/>
      <c r="G228" s="258"/>
      <c r="H228" s="305"/>
      <c r="I228" s="248"/>
      <c r="J228" s="248"/>
      <c r="K228" s="248"/>
      <c r="L228" s="329">
        <f>Table1[[#This Row],[Green target threshold]]+Table1[[#This Row],[Green target threshold]]*0.5</f>
        <v>0</v>
      </c>
      <c r="M228" s="248"/>
      <c r="N228" s="248"/>
      <c r="O228" s="248"/>
      <c r="P228" s="329"/>
      <c r="Q228" s="329"/>
      <c r="R228" s="329"/>
      <c r="S228" s="329">
        <f>Table1[[#This Row],[Red target threshold]]-Table1[[#This Row],[Red target threshold]]*0.5</f>
        <v>0</v>
      </c>
      <c r="T228" s="248"/>
      <c r="U228" s="281"/>
    </row>
    <row r="229" spans="1:22" s="33" customFormat="1" hidden="1" x14ac:dyDescent="0.25">
      <c r="A229" s="270"/>
      <c r="B229" s="197"/>
      <c r="C229" s="197"/>
      <c r="D229" s="197"/>
      <c r="E229" s="256"/>
      <c r="F229" s="257"/>
      <c r="G229" s="258"/>
      <c r="H229" s="305"/>
      <c r="I229" s="248"/>
      <c r="J229" s="248"/>
      <c r="K229" s="248"/>
      <c r="L229" s="329">
        <f>Table1[[#This Row],[Green target threshold]]+Table1[[#This Row],[Green target threshold]]*0.5</f>
        <v>0</v>
      </c>
      <c r="M229" s="248"/>
      <c r="N229" s="248"/>
      <c r="O229" s="248"/>
      <c r="P229" s="329"/>
      <c r="Q229" s="329"/>
      <c r="R229" s="329"/>
      <c r="S229" s="329">
        <f>Table1[[#This Row],[Red target threshold]]-Table1[[#This Row],[Red target threshold]]*0.5</f>
        <v>0</v>
      </c>
      <c r="T229" s="248"/>
      <c r="U229" s="281"/>
    </row>
    <row r="230" spans="1:22" s="268" customFormat="1" hidden="1" x14ac:dyDescent="0.25">
      <c r="A230" s="294"/>
      <c r="B230" s="299"/>
      <c r="C230" s="299"/>
      <c r="D230" s="333"/>
      <c r="E230" s="301">
        <v>2005</v>
      </c>
      <c r="F230" s="301">
        <v>2010</v>
      </c>
      <c r="G230" s="301">
        <v>2020</v>
      </c>
      <c r="H230" s="301"/>
      <c r="I230" s="301"/>
      <c r="J230" s="301"/>
      <c r="K230" s="301"/>
      <c r="L230" s="301">
        <f>Table1[[#This Row],[Green target threshold]]+Table1[[#This Row],[Green target threshold]]*0.5</f>
        <v>0</v>
      </c>
      <c r="M230" s="301"/>
      <c r="N230" s="301"/>
      <c r="O230" s="301"/>
      <c r="P230" s="301"/>
      <c r="Q230" s="301"/>
      <c r="R230" s="301"/>
      <c r="S230" s="301">
        <f>Table1[[#This Row],[Red target threshold]]-Table1[[#This Row],[Red target threshold]]*0.5</f>
        <v>0</v>
      </c>
      <c r="T230" s="301"/>
      <c r="U230" s="296"/>
    </row>
    <row r="231" spans="1:22" s="33" customFormat="1" hidden="1" x14ac:dyDescent="0.25">
      <c r="A231" s="302" t="s">
        <v>954</v>
      </c>
      <c r="B231" s="336" t="s">
        <v>22</v>
      </c>
      <c r="C231" s="337" t="s">
        <v>959</v>
      </c>
      <c r="D231" s="336" t="s">
        <v>1084</v>
      </c>
      <c r="E231" s="304">
        <v>0.36770000000000003</v>
      </c>
      <c r="F231" s="304">
        <v>0.57010000000000005</v>
      </c>
      <c r="G231" s="304">
        <v>1.1954</v>
      </c>
      <c r="H231" s="305">
        <v>2020</v>
      </c>
      <c r="I231" s="305">
        <v>1.1954</v>
      </c>
      <c r="J231" s="305">
        <v>2015</v>
      </c>
      <c r="K231" s="295">
        <v>0.14058100000000001</v>
      </c>
      <c r="L231" s="295">
        <f>Table1[[#This Row],[Green target threshold]]+Table1[[#This Row],[Green target threshold]]*0.5</f>
        <v>11.850000000000001</v>
      </c>
      <c r="M231" s="305">
        <v>7.9</v>
      </c>
      <c r="N231" s="305"/>
      <c r="O231" s="421" t="s">
        <v>985</v>
      </c>
      <c r="P231" s="305">
        <f>(M231-K231)*0.5+K231</f>
        <v>4.0202904999999998</v>
      </c>
      <c r="Q231" s="305">
        <f>K231</f>
        <v>0.14058100000000001</v>
      </c>
      <c r="R231" s="305">
        <f>K231</f>
        <v>0.14058100000000001</v>
      </c>
      <c r="S231" s="305">
        <f>Table1[[#This Row],[Red target threshold]]-Table1[[#This Row],[Red target threshold]]*0.5</f>
        <v>7.0290500000000006E-2</v>
      </c>
      <c r="T231" s="305" t="s">
        <v>1127</v>
      </c>
      <c r="U231" s="303" t="s">
        <v>979</v>
      </c>
      <c r="V231" s="371" t="s">
        <v>1133</v>
      </c>
    </row>
    <row r="232" spans="1:22" s="33" customFormat="1" hidden="1" x14ac:dyDescent="0.25">
      <c r="A232" s="270"/>
      <c r="B232" s="197"/>
      <c r="C232" s="197"/>
      <c r="D232" s="197"/>
      <c r="E232" s="253"/>
      <c r="F232" s="254"/>
      <c r="G232" s="255"/>
      <c r="H232" s="305"/>
      <c r="I232" s="248"/>
      <c r="J232" s="248"/>
      <c r="K232" s="248"/>
      <c r="L232" s="248">
        <f>Table1[[#This Row],[Green target threshold]]+Table1[[#This Row],[Green target threshold]]*0.5</f>
        <v>0</v>
      </c>
      <c r="M232" s="248"/>
      <c r="N232" s="248"/>
      <c r="O232" s="248"/>
      <c r="P232" s="248"/>
      <c r="Q232" s="248"/>
      <c r="R232" s="248"/>
      <c r="S232" s="248">
        <f>Table1[[#This Row],[Red target threshold]]-Table1[[#This Row],[Red target threshold]]*0.5</f>
        <v>0</v>
      </c>
      <c r="T232" s="248"/>
      <c r="U232" s="281"/>
    </row>
    <row r="233" spans="1:22" s="33" customFormat="1" hidden="1" x14ac:dyDescent="0.25">
      <c r="A233" s="270"/>
      <c r="B233" s="197"/>
      <c r="C233" s="197"/>
      <c r="D233" s="197"/>
      <c r="E233" s="253"/>
      <c r="F233" s="254"/>
      <c r="G233" s="255"/>
      <c r="H233" s="305"/>
      <c r="I233" s="248"/>
      <c r="J233" s="248"/>
      <c r="K233" s="248"/>
      <c r="L233" s="248">
        <f>Table1[[#This Row],[Green target threshold]]+Table1[[#This Row],[Green target threshold]]*0.5</f>
        <v>0</v>
      </c>
      <c r="M233" s="248"/>
      <c r="N233" s="248"/>
      <c r="O233" s="248"/>
      <c r="P233" s="248"/>
      <c r="Q233" s="248"/>
      <c r="R233" s="248"/>
      <c r="S233" s="248">
        <f>Table1[[#This Row],[Red target threshold]]-Table1[[#This Row],[Red target threshold]]*0.5</f>
        <v>0</v>
      </c>
      <c r="T233" s="248"/>
      <c r="U233" s="281"/>
    </row>
    <row r="234" spans="1:22" s="33" customFormat="1" hidden="1" x14ac:dyDescent="0.25">
      <c r="A234" s="270"/>
      <c r="B234" s="197"/>
      <c r="C234" s="197"/>
      <c r="D234" s="197"/>
      <c r="E234" s="253"/>
      <c r="F234" s="254"/>
      <c r="G234" s="255"/>
      <c r="H234" s="305"/>
      <c r="I234" s="248"/>
      <c r="J234" s="248"/>
      <c r="K234" s="248"/>
      <c r="L234" s="248">
        <f>Table1[[#This Row],[Green target threshold]]+Table1[[#This Row],[Green target threshold]]*0.5</f>
        <v>0</v>
      </c>
      <c r="M234" s="248"/>
      <c r="N234" s="248"/>
      <c r="O234" s="248"/>
      <c r="P234" s="248"/>
      <c r="Q234" s="248"/>
      <c r="R234" s="248"/>
      <c r="S234" s="248">
        <f>Table1[[#This Row],[Red target threshold]]-Table1[[#This Row],[Red target threshold]]*0.5</f>
        <v>0</v>
      </c>
      <c r="T234" s="248"/>
      <c r="U234" s="281"/>
    </row>
    <row r="235" spans="1:22" s="33" customFormat="1" hidden="1" x14ac:dyDescent="0.25">
      <c r="A235" s="270"/>
      <c r="B235" s="197"/>
      <c r="C235" s="197"/>
      <c r="D235" s="197"/>
      <c r="E235" s="253"/>
      <c r="F235" s="254"/>
      <c r="G235" s="255"/>
      <c r="H235" s="305"/>
      <c r="I235" s="248"/>
      <c r="J235" s="248"/>
      <c r="K235" s="248"/>
      <c r="L235" s="329">
        <f>Table1[[#This Row],[Green target threshold]]+Table1[[#This Row],[Green target threshold]]*0.5</f>
        <v>0</v>
      </c>
      <c r="M235" s="248"/>
      <c r="N235" s="248"/>
      <c r="O235" s="248"/>
      <c r="P235" s="329"/>
      <c r="Q235" s="329"/>
      <c r="R235" s="329"/>
      <c r="S235" s="329">
        <f>Table1[[#This Row],[Red target threshold]]-Table1[[#This Row],[Red target threshold]]*0.5</f>
        <v>0</v>
      </c>
      <c r="T235" s="248"/>
      <c r="U235" s="281"/>
    </row>
    <row r="236" spans="1:22" s="33" customFormat="1" hidden="1" x14ac:dyDescent="0.25">
      <c r="A236" s="270"/>
      <c r="B236" s="197"/>
      <c r="C236" s="197"/>
      <c r="D236" s="197"/>
      <c r="E236" s="253"/>
      <c r="F236" s="254"/>
      <c r="G236" s="255"/>
      <c r="H236" s="305"/>
      <c r="I236" s="248"/>
      <c r="J236" s="248"/>
      <c r="K236" s="248"/>
      <c r="L236" s="329">
        <f>Table1[[#This Row],[Green target threshold]]+Table1[[#This Row],[Green target threshold]]*0.5</f>
        <v>0</v>
      </c>
      <c r="M236" s="248"/>
      <c r="N236" s="248"/>
      <c r="O236" s="248"/>
      <c r="P236" s="329"/>
      <c r="Q236" s="329"/>
      <c r="R236" s="329"/>
      <c r="S236" s="329">
        <f>Table1[[#This Row],[Red target threshold]]-Table1[[#This Row],[Red target threshold]]*0.5</f>
        <v>0</v>
      </c>
      <c r="T236" s="248"/>
      <c r="U236" s="281"/>
    </row>
    <row r="237" spans="1:22" s="33" customFormat="1" hidden="1" x14ac:dyDescent="0.25">
      <c r="A237" s="270"/>
      <c r="B237" s="197"/>
      <c r="C237" s="197"/>
      <c r="D237" s="197"/>
      <c r="E237" s="256"/>
      <c r="F237" s="257"/>
      <c r="G237" s="258"/>
      <c r="H237" s="305"/>
      <c r="I237" s="248"/>
      <c r="J237" s="248"/>
      <c r="K237" s="248"/>
      <c r="L237" s="248">
        <f>Table1[[#This Row],[Green target threshold]]+Table1[[#This Row],[Green target threshold]]*0.5</f>
        <v>0</v>
      </c>
      <c r="M237" s="248"/>
      <c r="N237" s="248"/>
      <c r="O237" s="248"/>
      <c r="P237" s="248"/>
      <c r="Q237" s="248"/>
      <c r="R237" s="248"/>
      <c r="S237" s="248">
        <f>Table1[[#This Row],[Red target threshold]]-Table1[[#This Row],[Red target threshold]]*0.5</f>
        <v>0</v>
      </c>
      <c r="T237" s="248"/>
      <c r="U237" s="281"/>
    </row>
    <row r="238" spans="1:22" s="33" customFormat="1" hidden="1" x14ac:dyDescent="0.25">
      <c r="A238" s="270"/>
      <c r="B238" s="197"/>
      <c r="C238" s="197"/>
      <c r="D238" s="197"/>
      <c r="E238" s="256"/>
      <c r="F238" s="257"/>
      <c r="G238" s="258"/>
      <c r="H238" s="305"/>
      <c r="I238" s="248"/>
      <c r="J238" s="248"/>
      <c r="K238" s="248"/>
      <c r="L238" s="248">
        <f>Table1[[#This Row],[Green target threshold]]+Table1[[#This Row],[Green target threshold]]*0.5</f>
        <v>0</v>
      </c>
      <c r="M238" s="248"/>
      <c r="N238" s="248"/>
      <c r="O238" s="248"/>
      <c r="P238" s="248"/>
      <c r="Q238" s="248"/>
      <c r="R238" s="248"/>
      <c r="S238" s="248">
        <f>Table1[[#This Row],[Red target threshold]]-Table1[[#This Row],[Red target threshold]]*0.5</f>
        <v>0</v>
      </c>
      <c r="T238" s="248"/>
      <c r="U238" s="281"/>
    </row>
    <row r="239" spans="1:22" s="33" customFormat="1" hidden="1" x14ac:dyDescent="0.25">
      <c r="A239" s="270"/>
      <c r="B239" s="197"/>
      <c r="C239" s="197"/>
      <c r="D239" s="197"/>
      <c r="E239" s="256"/>
      <c r="F239" s="257"/>
      <c r="G239" s="258"/>
      <c r="H239" s="305"/>
      <c r="I239" s="248"/>
      <c r="J239" s="248"/>
      <c r="K239" s="248"/>
      <c r="L239" s="329">
        <f>Table1[[#This Row],[Green target threshold]]+Table1[[#This Row],[Green target threshold]]*0.5</f>
        <v>0</v>
      </c>
      <c r="M239" s="248"/>
      <c r="N239" s="248"/>
      <c r="O239" s="248"/>
      <c r="P239" s="329"/>
      <c r="Q239" s="329"/>
      <c r="R239" s="329"/>
      <c r="S239" s="329">
        <f>Table1[[#This Row],[Red target threshold]]-Table1[[#This Row],[Red target threshold]]*0.5</f>
        <v>0</v>
      </c>
      <c r="T239" s="248"/>
      <c r="U239" s="281"/>
    </row>
    <row r="240" spans="1:22" s="33" customFormat="1" hidden="1" x14ac:dyDescent="0.25">
      <c r="A240" s="270"/>
      <c r="B240" s="197"/>
      <c r="C240" s="197"/>
      <c r="D240" s="197"/>
      <c r="E240" s="256"/>
      <c r="F240" s="257"/>
      <c r="G240" s="258"/>
      <c r="H240" s="305"/>
      <c r="I240" s="248"/>
      <c r="J240" s="248"/>
      <c r="K240" s="248"/>
      <c r="L240" s="329">
        <f>Table1[[#This Row],[Green target threshold]]+Table1[[#This Row],[Green target threshold]]*0.5</f>
        <v>0</v>
      </c>
      <c r="M240" s="248"/>
      <c r="N240" s="248"/>
      <c r="O240" s="248"/>
      <c r="P240" s="329"/>
      <c r="Q240" s="329"/>
      <c r="R240" s="329"/>
      <c r="S240" s="329">
        <f>Table1[[#This Row],[Red target threshold]]-Table1[[#This Row],[Red target threshold]]*0.5</f>
        <v>0</v>
      </c>
      <c r="T240" s="248"/>
      <c r="U240" s="281"/>
    </row>
    <row r="241" spans="1:21" s="33" customFormat="1" hidden="1" x14ac:dyDescent="0.25">
      <c r="A241" s="270"/>
      <c r="B241" s="197"/>
      <c r="C241" s="197"/>
      <c r="D241" s="197"/>
      <c r="E241" s="256"/>
      <c r="F241" s="257"/>
      <c r="G241" s="258"/>
      <c r="H241" s="305"/>
      <c r="I241" s="248"/>
      <c r="J241" s="248"/>
      <c r="K241" s="248"/>
      <c r="L241" s="329">
        <f>Table1[[#This Row],[Green target threshold]]+Table1[[#This Row],[Green target threshold]]*0.5</f>
        <v>0</v>
      </c>
      <c r="M241" s="248"/>
      <c r="N241" s="248"/>
      <c r="O241" s="248"/>
      <c r="P241" s="329"/>
      <c r="Q241" s="329"/>
      <c r="R241" s="329"/>
      <c r="S241" s="329">
        <f>Table1[[#This Row],[Red target threshold]]-Table1[[#This Row],[Red target threshold]]*0.5</f>
        <v>0</v>
      </c>
      <c r="T241" s="248"/>
      <c r="U241" s="281"/>
    </row>
    <row r="242" spans="1:21" s="268" customFormat="1" hidden="1" x14ac:dyDescent="0.25">
      <c r="A242" s="294"/>
      <c r="B242" s="299"/>
      <c r="C242" s="299"/>
      <c r="D242" s="299"/>
      <c r="E242" s="301">
        <v>2005</v>
      </c>
      <c r="F242" s="301">
        <v>2010</v>
      </c>
      <c r="G242" s="301">
        <v>2020</v>
      </c>
      <c r="H242" s="301"/>
      <c r="I242" s="301"/>
      <c r="J242" s="301"/>
      <c r="K242" s="301"/>
      <c r="L242" s="301">
        <f>Table1[[#This Row],[Green target threshold]]+Table1[[#This Row],[Green target threshold]]*0.5</f>
        <v>0</v>
      </c>
      <c r="M242" s="301"/>
      <c r="N242" s="301"/>
      <c r="O242" s="301"/>
      <c r="P242" s="301"/>
      <c r="Q242" s="301"/>
      <c r="R242" s="301"/>
      <c r="S242" s="301">
        <f>Table1[[#This Row],[Red target threshold]]-Table1[[#This Row],[Red target threshold]]*0.5</f>
        <v>0</v>
      </c>
      <c r="T242" s="301"/>
      <c r="U242" s="296"/>
    </row>
    <row r="243" spans="1:21" s="33" customFormat="1" x14ac:dyDescent="0.25">
      <c r="A243" s="302" t="s">
        <v>955</v>
      </c>
      <c r="B243" s="336" t="s">
        <v>23</v>
      </c>
      <c r="C243" s="337" t="s">
        <v>959</v>
      </c>
      <c r="D243" s="336" t="s">
        <v>1083</v>
      </c>
      <c r="E243" s="304">
        <v>39.684927036923398</v>
      </c>
      <c r="F243" s="304">
        <v>37.299186992214103</v>
      </c>
      <c r="G243" s="304">
        <v>42.6177957241024</v>
      </c>
      <c r="H243" s="305">
        <v>2020</v>
      </c>
      <c r="I243" s="305">
        <v>42.6177957241024</v>
      </c>
      <c r="J243" s="305">
        <v>2015</v>
      </c>
      <c r="K243" s="295">
        <v>19.264299999999999</v>
      </c>
      <c r="L243" s="295">
        <f>Table1[[#This Row],[Green target threshold]]+Table1[[#This Row],[Green target threshold]]*0.5</f>
        <v>43.344674999999995</v>
      </c>
      <c r="M243" s="305">
        <f>Table1[[#This Row],[Model reference value]]+Table1[[#This Row],[Model reference value]]*Table1[[#This Row],[Improvement rate]]</f>
        <v>28.896449999999998</v>
      </c>
      <c r="N243" s="305">
        <v>0.5</v>
      </c>
      <c r="O243" s="305" t="s">
        <v>1140</v>
      </c>
      <c r="P243" s="305">
        <f>(M243-K243)*0.5+K243</f>
        <v>24.080374999999997</v>
      </c>
      <c r="Q243" s="305">
        <f>K243</f>
        <v>19.264299999999999</v>
      </c>
      <c r="R243" s="305">
        <f>K243</f>
        <v>19.264299999999999</v>
      </c>
      <c r="S243" s="305">
        <f>Table1[[#This Row],[Red target threshold]]-Table1[[#This Row],[Red target threshold]]*0.5</f>
        <v>9.6321499999999993</v>
      </c>
      <c r="T243" s="305" t="s">
        <v>1087</v>
      </c>
      <c r="U243" s="303" t="s">
        <v>979</v>
      </c>
    </row>
    <row r="244" spans="1:21" s="33" customFormat="1" hidden="1" x14ac:dyDescent="0.25">
      <c r="A244" s="270"/>
      <c r="B244" s="197"/>
      <c r="C244" s="197"/>
      <c r="D244" s="197"/>
      <c r="E244" s="253"/>
      <c r="F244" s="254"/>
      <c r="G244" s="255"/>
      <c r="H244" s="305"/>
      <c r="I244" s="248"/>
      <c r="J244" s="248"/>
      <c r="K244" s="248"/>
      <c r="L244" s="248">
        <f>Table1[[#This Row],[Green target threshold]]+Table1[[#This Row],[Green target threshold]]*0.5</f>
        <v>0</v>
      </c>
      <c r="M244" s="248"/>
      <c r="N244" s="248"/>
      <c r="O244" s="248"/>
      <c r="P244" s="248"/>
      <c r="Q244" s="248"/>
      <c r="R244" s="248"/>
      <c r="S244" s="248">
        <f>Table1[[#This Row],[Red target threshold]]-Table1[[#This Row],[Red target threshold]]*0.5</f>
        <v>0</v>
      </c>
      <c r="T244" s="248"/>
      <c r="U244" s="281"/>
    </row>
    <row r="245" spans="1:21" s="33" customFormat="1" hidden="1" x14ac:dyDescent="0.25">
      <c r="A245" s="270"/>
      <c r="B245" s="197"/>
      <c r="C245" s="197"/>
      <c r="D245" s="197"/>
      <c r="E245" s="253"/>
      <c r="F245" s="254"/>
      <c r="G245" s="255"/>
      <c r="H245" s="305"/>
      <c r="I245" s="248"/>
      <c r="J245" s="248"/>
      <c r="K245" s="248"/>
      <c r="L245" s="248">
        <f>Table1[[#This Row],[Green target threshold]]+Table1[[#This Row],[Green target threshold]]*0.5</f>
        <v>0</v>
      </c>
      <c r="M245" s="248"/>
      <c r="N245" s="248"/>
      <c r="O245" s="248"/>
      <c r="P245" s="248"/>
      <c r="Q245" s="248"/>
      <c r="R245" s="248"/>
      <c r="S245" s="248">
        <f>Table1[[#This Row],[Red target threshold]]-Table1[[#This Row],[Red target threshold]]*0.5</f>
        <v>0</v>
      </c>
      <c r="T245" s="248"/>
      <c r="U245" s="281"/>
    </row>
    <row r="246" spans="1:21" s="33" customFormat="1" hidden="1" x14ac:dyDescent="0.25">
      <c r="A246" s="270"/>
      <c r="B246" s="197"/>
      <c r="C246" s="197"/>
      <c r="D246" s="197"/>
      <c r="E246" s="253"/>
      <c r="F246" s="254"/>
      <c r="G246" s="255"/>
      <c r="H246" s="305"/>
      <c r="I246" s="248"/>
      <c r="J246" s="248"/>
      <c r="K246" s="248"/>
      <c r="L246" s="248">
        <f>Table1[[#This Row],[Green target threshold]]+Table1[[#This Row],[Green target threshold]]*0.5</f>
        <v>0</v>
      </c>
      <c r="M246" s="248"/>
      <c r="N246" s="248"/>
      <c r="O246" s="248"/>
      <c r="P246" s="248"/>
      <c r="Q246" s="248"/>
      <c r="R246" s="248"/>
      <c r="S246" s="248">
        <f>Table1[[#This Row],[Red target threshold]]-Table1[[#This Row],[Red target threshold]]*0.5</f>
        <v>0</v>
      </c>
      <c r="T246" s="248"/>
      <c r="U246" s="281"/>
    </row>
    <row r="247" spans="1:21" s="33" customFormat="1" hidden="1" x14ac:dyDescent="0.25">
      <c r="A247" s="270"/>
      <c r="B247" s="197"/>
      <c r="C247" s="197"/>
      <c r="D247" s="197"/>
      <c r="E247" s="253"/>
      <c r="F247" s="254"/>
      <c r="G247" s="255"/>
      <c r="H247" s="305"/>
      <c r="I247" s="248"/>
      <c r="J247" s="248"/>
      <c r="K247" s="248"/>
      <c r="L247" s="329">
        <f>Table1[[#This Row],[Green target threshold]]+Table1[[#This Row],[Green target threshold]]*0.5</f>
        <v>0</v>
      </c>
      <c r="M247" s="248"/>
      <c r="N247" s="248"/>
      <c r="O247" s="248"/>
      <c r="P247" s="329"/>
      <c r="Q247" s="329"/>
      <c r="R247" s="329"/>
      <c r="S247" s="329">
        <f>Table1[[#This Row],[Red target threshold]]-Table1[[#This Row],[Red target threshold]]*0.5</f>
        <v>0</v>
      </c>
      <c r="T247" s="248"/>
      <c r="U247" s="281"/>
    </row>
    <row r="248" spans="1:21" s="33" customFormat="1" hidden="1" x14ac:dyDescent="0.25">
      <c r="A248" s="270"/>
      <c r="B248" s="197"/>
      <c r="C248" s="197"/>
      <c r="D248" s="197"/>
      <c r="E248" s="253"/>
      <c r="F248" s="254"/>
      <c r="G248" s="255"/>
      <c r="H248" s="305"/>
      <c r="I248" s="248"/>
      <c r="J248" s="248"/>
      <c r="K248" s="248"/>
      <c r="L248" s="329">
        <f>Table1[[#This Row],[Green target threshold]]+Table1[[#This Row],[Green target threshold]]*0.5</f>
        <v>0</v>
      </c>
      <c r="M248" s="248"/>
      <c r="N248" s="248"/>
      <c r="O248" s="248"/>
      <c r="P248" s="329"/>
      <c r="Q248" s="329"/>
      <c r="R248" s="329"/>
      <c r="S248" s="329">
        <f>Table1[[#This Row],[Red target threshold]]-Table1[[#This Row],[Red target threshold]]*0.5</f>
        <v>0</v>
      </c>
      <c r="T248" s="248"/>
      <c r="U248" s="281"/>
    </row>
    <row r="249" spans="1:21" s="33" customFormat="1" hidden="1" x14ac:dyDescent="0.25">
      <c r="A249" s="270"/>
      <c r="B249" s="197"/>
      <c r="C249" s="197"/>
      <c r="D249" s="197"/>
      <c r="E249" s="256"/>
      <c r="F249" s="257"/>
      <c r="G249" s="258"/>
      <c r="H249" s="305"/>
      <c r="I249" s="248"/>
      <c r="J249" s="248"/>
      <c r="K249" s="248"/>
      <c r="L249" s="248">
        <f>Table1[[#This Row],[Green target threshold]]+Table1[[#This Row],[Green target threshold]]*0.5</f>
        <v>0</v>
      </c>
      <c r="M249" s="248"/>
      <c r="N249" s="248"/>
      <c r="O249" s="248"/>
      <c r="P249" s="248"/>
      <c r="Q249" s="248"/>
      <c r="R249" s="248"/>
      <c r="S249" s="248">
        <f>Table1[[#This Row],[Red target threshold]]-Table1[[#This Row],[Red target threshold]]*0.5</f>
        <v>0</v>
      </c>
      <c r="T249" s="248"/>
      <c r="U249" s="281"/>
    </row>
    <row r="250" spans="1:21" s="33" customFormat="1" hidden="1" x14ac:dyDescent="0.25">
      <c r="A250" s="270"/>
      <c r="B250" s="197"/>
      <c r="C250" s="197"/>
      <c r="D250" s="197"/>
      <c r="E250" s="256"/>
      <c r="F250" s="257"/>
      <c r="G250" s="258"/>
      <c r="H250" s="305"/>
      <c r="I250" s="248"/>
      <c r="J250" s="248"/>
      <c r="K250" s="248"/>
      <c r="L250" s="248">
        <f>Table1[[#This Row],[Green target threshold]]+Table1[[#This Row],[Green target threshold]]*0.5</f>
        <v>0</v>
      </c>
      <c r="M250" s="248"/>
      <c r="N250" s="248"/>
      <c r="O250" s="248"/>
      <c r="P250" s="248"/>
      <c r="Q250" s="248"/>
      <c r="R250" s="248"/>
      <c r="S250" s="248">
        <f>Table1[[#This Row],[Red target threshold]]-Table1[[#This Row],[Red target threshold]]*0.5</f>
        <v>0</v>
      </c>
      <c r="T250" s="248"/>
      <c r="U250" s="281"/>
    </row>
    <row r="251" spans="1:21" s="33" customFormat="1" hidden="1" x14ac:dyDescent="0.25">
      <c r="A251" s="270"/>
      <c r="B251" s="197"/>
      <c r="C251" s="197"/>
      <c r="D251" s="197"/>
      <c r="E251" s="256"/>
      <c r="F251" s="257"/>
      <c r="G251" s="258"/>
      <c r="H251" s="305"/>
      <c r="I251" s="248"/>
      <c r="J251" s="248"/>
      <c r="K251" s="248"/>
      <c r="L251" s="329">
        <f>Table1[[#This Row],[Green target threshold]]+Table1[[#This Row],[Green target threshold]]*0.5</f>
        <v>0</v>
      </c>
      <c r="M251" s="248"/>
      <c r="N251" s="248"/>
      <c r="O251" s="248"/>
      <c r="P251" s="329"/>
      <c r="Q251" s="329"/>
      <c r="R251" s="329"/>
      <c r="S251" s="329">
        <f>Table1[[#This Row],[Red target threshold]]-Table1[[#This Row],[Red target threshold]]*0.5</f>
        <v>0</v>
      </c>
      <c r="T251" s="248"/>
      <c r="U251" s="281"/>
    </row>
    <row r="252" spans="1:21" s="33" customFormat="1" hidden="1" x14ac:dyDescent="0.25">
      <c r="A252" s="270"/>
      <c r="B252" s="197"/>
      <c r="C252" s="197"/>
      <c r="D252" s="197"/>
      <c r="E252" s="256"/>
      <c r="F252" s="257"/>
      <c r="G252" s="258"/>
      <c r="H252" s="305"/>
      <c r="I252" s="248"/>
      <c r="J252" s="248"/>
      <c r="K252" s="248"/>
      <c r="L252" s="329">
        <f>Table1[[#This Row],[Green target threshold]]+Table1[[#This Row],[Green target threshold]]*0.5</f>
        <v>0</v>
      </c>
      <c r="M252" s="248"/>
      <c r="N252" s="248"/>
      <c r="O252" s="248"/>
      <c r="P252" s="329"/>
      <c r="Q252" s="329"/>
      <c r="R252" s="329"/>
      <c r="S252" s="329">
        <f>Table1[[#This Row],[Red target threshold]]-Table1[[#This Row],[Red target threshold]]*0.5</f>
        <v>0</v>
      </c>
      <c r="T252" s="248"/>
      <c r="U252" s="281"/>
    </row>
    <row r="253" spans="1:21" s="33" customFormat="1" hidden="1" x14ac:dyDescent="0.25">
      <c r="A253" s="270"/>
      <c r="B253" s="197"/>
      <c r="C253" s="197"/>
      <c r="D253" s="197"/>
      <c r="E253" s="256"/>
      <c r="F253" s="257"/>
      <c r="G253" s="258"/>
      <c r="H253" s="305"/>
      <c r="I253" s="248"/>
      <c r="J253" s="248"/>
      <c r="K253" s="248"/>
      <c r="L253" s="329">
        <f>Table1[[#This Row],[Green target threshold]]+Table1[[#This Row],[Green target threshold]]*0.5</f>
        <v>0</v>
      </c>
      <c r="M253" s="248"/>
      <c r="N253" s="248"/>
      <c r="O253" s="248"/>
      <c r="P253" s="329"/>
      <c r="Q253" s="329"/>
      <c r="R253" s="329"/>
      <c r="S253" s="329">
        <f>Table1[[#This Row],[Red target threshold]]-Table1[[#This Row],[Red target threshold]]*0.5</f>
        <v>0</v>
      </c>
      <c r="T253" s="248"/>
      <c r="U253" s="281"/>
    </row>
    <row r="254" spans="1:21" s="268" customFormat="1" hidden="1" x14ac:dyDescent="0.25">
      <c r="A254" s="294"/>
      <c r="B254" s="299"/>
      <c r="C254" s="299"/>
      <c r="D254" s="299"/>
      <c r="E254" s="301">
        <v>2005</v>
      </c>
      <c r="F254" s="301">
        <v>2010</v>
      </c>
      <c r="G254" s="301">
        <v>2020</v>
      </c>
      <c r="H254" s="301"/>
      <c r="I254" s="301"/>
      <c r="J254" s="301"/>
      <c r="K254" s="301"/>
      <c r="L254" s="301">
        <f>Table1[[#This Row],[Green target threshold]]+Table1[[#This Row],[Green target threshold]]*0.5</f>
        <v>0</v>
      </c>
      <c r="M254" s="301"/>
      <c r="N254" s="301"/>
      <c r="O254" s="301"/>
      <c r="P254" s="301"/>
      <c r="Q254" s="301"/>
      <c r="R254" s="301"/>
      <c r="S254" s="301">
        <f>Table1[[#This Row],[Red target threshold]]-Table1[[#This Row],[Red target threshold]]*0.5</f>
        <v>0</v>
      </c>
      <c r="T254" s="301"/>
      <c r="U254" s="296"/>
    </row>
    <row r="255" spans="1:21" s="33" customFormat="1" x14ac:dyDescent="0.25">
      <c r="A255" s="302" t="s">
        <v>956</v>
      </c>
      <c r="B255" s="336" t="s">
        <v>24</v>
      </c>
      <c r="C255" s="337" t="s">
        <v>959</v>
      </c>
      <c r="D255" s="336" t="s">
        <v>1085</v>
      </c>
      <c r="E255" s="304">
        <v>167.2</v>
      </c>
      <c r="F255" s="304">
        <v>171.4</v>
      </c>
      <c r="G255" s="304">
        <v>195</v>
      </c>
      <c r="H255" s="305">
        <v>2020</v>
      </c>
      <c r="I255" s="305">
        <v>195</v>
      </c>
      <c r="J255" s="305">
        <v>2015</v>
      </c>
      <c r="K255" s="295">
        <v>183.40299999999999</v>
      </c>
      <c r="L255" s="295">
        <f>Table1[[#This Row],[Green target threshold]]-Table1[[#This Row],[Green target threshold]]*0.5</f>
        <v>64.19104999999999</v>
      </c>
      <c r="M255" s="305">
        <f>Table1[[#This Row],[Model reference value]]+Table1[[#This Row],[Model reference value]]*Table1[[#This Row],[Improvement rate]]</f>
        <v>128.38209999999998</v>
      </c>
      <c r="N255" s="305">
        <v>-0.3</v>
      </c>
      <c r="O255" s="305" t="s">
        <v>1140</v>
      </c>
      <c r="P255" s="305">
        <f>(M255-K255)*0.5+K255</f>
        <v>155.89254999999997</v>
      </c>
      <c r="Q255" s="305">
        <f>K255</f>
        <v>183.40299999999999</v>
      </c>
      <c r="R255" s="305">
        <f>K255</f>
        <v>183.40299999999999</v>
      </c>
      <c r="S255" s="305">
        <f>Table1[[#This Row],[Red target threshold]]+Table1[[#This Row],[Red target threshold]]*0.5</f>
        <v>275.10449999999997</v>
      </c>
      <c r="T255" s="305" t="s">
        <v>1088</v>
      </c>
      <c r="U255" s="303" t="s">
        <v>979</v>
      </c>
    </row>
    <row r="256" spans="1:21" s="33" customFormat="1" hidden="1" x14ac:dyDescent="0.25">
      <c r="A256" s="270"/>
      <c r="B256" s="197"/>
      <c r="C256" s="197"/>
      <c r="D256" s="197"/>
      <c r="E256" s="253"/>
      <c r="F256" s="254"/>
      <c r="G256" s="255"/>
      <c r="H256" s="305"/>
      <c r="I256" s="248"/>
      <c r="J256" s="248"/>
      <c r="K256" s="248"/>
      <c r="L256" s="248">
        <f>Table1[[#This Row],[Green target threshold]]+Table1[[#This Row],[Green target threshold]]*0.5</f>
        <v>0</v>
      </c>
      <c r="M256" s="248"/>
      <c r="N256" s="248"/>
      <c r="O256" s="248"/>
      <c r="P256" s="248"/>
      <c r="Q256" s="248"/>
      <c r="R256" s="248"/>
      <c r="S256" s="248">
        <f>Table1[[#This Row],[Red target threshold]]-Table1[[#This Row],[Red target threshold]]*0.5</f>
        <v>0</v>
      </c>
      <c r="T256" s="248"/>
      <c r="U256" s="281"/>
    </row>
    <row r="257" spans="1:21" s="33" customFormat="1" hidden="1" x14ac:dyDescent="0.25">
      <c r="A257" s="270"/>
      <c r="B257" s="197"/>
      <c r="C257" s="197"/>
      <c r="D257" s="197"/>
      <c r="E257" s="253"/>
      <c r="F257" s="254"/>
      <c r="G257" s="255"/>
      <c r="H257" s="305"/>
      <c r="I257" s="248"/>
      <c r="J257" s="248"/>
      <c r="K257" s="248"/>
      <c r="L257" s="248">
        <f>Table1[[#This Row],[Green target threshold]]+Table1[[#This Row],[Green target threshold]]*0.5</f>
        <v>0</v>
      </c>
      <c r="M257" s="248"/>
      <c r="N257" s="248"/>
      <c r="O257" s="248"/>
      <c r="P257" s="248"/>
      <c r="Q257" s="248"/>
      <c r="R257" s="248"/>
      <c r="S257" s="248">
        <f>Table1[[#This Row],[Red target threshold]]-Table1[[#This Row],[Red target threshold]]*0.5</f>
        <v>0</v>
      </c>
      <c r="T257" s="248"/>
      <c r="U257" s="281"/>
    </row>
    <row r="258" spans="1:21" s="33" customFormat="1" hidden="1" x14ac:dyDescent="0.25">
      <c r="A258" s="270"/>
      <c r="B258" s="197"/>
      <c r="C258" s="197"/>
      <c r="D258" s="197"/>
      <c r="E258" s="253"/>
      <c r="F258" s="254"/>
      <c r="G258" s="255"/>
      <c r="H258" s="305"/>
      <c r="I258" s="248"/>
      <c r="J258" s="248"/>
      <c r="K258" s="248"/>
      <c r="L258" s="248">
        <f>Table1[[#This Row],[Green target threshold]]+Table1[[#This Row],[Green target threshold]]*0.5</f>
        <v>0</v>
      </c>
      <c r="M258" s="248"/>
      <c r="N258" s="248"/>
      <c r="O258" s="248"/>
      <c r="P258" s="248"/>
      <c r="Q258" s="248"/>
      <c r="R258" s="248"/>
      <c r="S258" s="248">
        <f>Table1[[#This Row],[Red target threshold]]-Table1[[#This Row],[Red target threshold]]*0.5</f>
        <v>0</v>
      </c>
      <c r="T258" s="248"/>
      <c r="U258" s="281"/>
    </row>
    <row r="259" spans="1:21" s="33" customFormat="1" hidden="1" x14ac:dyDescent="0.25">
      <c r="A259" s="270"/>
      <c r="B259" s="197"/>
      <c r="C259" s="197"/>
      <c r="D259" s="197"/>
      <c r="E259" s="253"/>
      <c r="F259" s="254"/>
      <c r="G259" s="255"/>
      <c r="H259" s="305"/>
      <c r="I259" s="248"/>
      <c r="J259" s="248"/>
      <c r="K259" s="248"/>
      <c r="L259" s="329">
        <f>Table1[[#This Row],[Green target threshold]]+Table1[[#This Row],[Green target threshold]]*0.5</f>
        <v>0</v>
      </c>
      <c r="M259" s="248"/>
      <c r="N259" s="248"/>
      <c r="O259" s="248"/>
      <c r="P259" s="329"/>
      <c r="Q259" s="329"/>
      <c r="R259" s="329"/>
      <c r="S259" s="329">
        <f>Table1[[#This Row],[Red target threshold]]-Table1[[#This Row],[Red target threshold]]*0.5</f>
        <v>0</v>
      </c>
      <c r="T259" s="248"/>
      <c r="U259" s="281"/>
    </row>
    <row r="260" spans="1:21" s="33" customFormat="1" hidden="1" x14ac:dyDescent="0.25">
      <c r="A260" s="270"/>
      <c r="B260" s="197"/>
      <c r="C260" s="197"/>
      <c r="D260" s="197"/>
      <c r="E260" s="253"/>
      <c r="F260" s="254"/>
      <c r="G260" s="255"/>
      <c r="H260" s="305"/>
      <c r="I260" s="248"/>
      <c r="J260" s="248"/>
      <c r="K260" s="248"/>
      <c r="L260" s="329">
        <f>Table1[[#This Row],[Green target threshold]]+Table1[[#This Row],[Green target threshold]]*0.5</f>
        <v>0</v>
      </c>
      <c r="M260" s="248"/>
      <c r="N260" s="248"/>
      <c r="O260" s="248"/>
      <c r="P260" s="329"/>
      <c r="Q260" s="329"/>
      <c r="R260" s="329"/>
      <c r="S260" s="329">
        <f>Table1[[#This Row],[Red target threshold]]-Table1[[#This Row],[Red target threshold]]*0.5</f>
        <v>0</v>
      </c>
      <c r="T260" s="248"/>
      <c r="U260" s="281"/>
    </row>
    <row r="261" spans="1:21" s="33" customFormat="1" hidden="1" x14ac:dyDescent="0.25">
      <c r="A261" s="270"/>
      <c r="B261" s="197"/>
      <c r="C261" s="197"/>
      <c r="D261" s="197"/>
      <c r="E261" s="256"/>
      <c r="F261" s="257"/>
      <c r="G261" s="258"/>
      <c r="H261" s="305"/>
      <c r="I261" s="248"/>
      <c r="J261" s="248"/>
      <c r="K261" s="248"/>
      <c r="L261" s="248">
        <f>Table1[[#This Row],[Green target threshold]]+Table1[[#This Row],[Green target threshold]]*0.5</f>
        <v>0</v>
      </c>
      <c r="M261" s="248"/>
      <c r="N261" s="248"/>
      <c r="O261" s="248"/>
      <c r="P261" s="248"/>
      <c r="Q261" s="248"/>
      <c r="R261" s="248"/>
      <c r="S261" s="248">
        <f>Table1[[#This Row],[Red target threshold]]-Table1[[#This Row],[Red target threshold]]*0.5</f>
        <v>0</v>
      </c>
      <c r="T261" s="248"/>
      <c r="U261" s="281"/>
    </row>
    <row r="262" spans="1:21" s="33" customFormat="1" hidden="1" x14ac:dyDescent="0.25">
      <c r="A262" s="270"/>
      <c r="B262" s="197"/>
      <c r="C262" s="197"/>
      <c r="D262" s="197"/>
      <c r="E262" s="256"/>
      <c r="F262" s="257"/>
      <c r="G262" s="258"/>
      <c r="H262" s="305"/>
      <c r="I262" s="248"/>
      <c r="J262" s="248"/>
      <c r="K262" s="248"/>
      <c r="L262" s="248">
        <f>Table1[[#This Row],[Green target threshold]]+Table1[[#This Row],[Green target threshold]]*0.5</f>
        <v>0</v>
      </c>
      <c r="M262" s="248"/>
      <c r="N262" s="248"/>
      <c r="O262" s="248"/>
      <c r="P262" s="248"/>
      <c r="Q262" s="248"/>
      <c r="R262" s="248"/>
      <c r="S262" s="248">
        <f>Table1[[#This Row],[Red target threshold]]-Table1[[#This Row],[Red target threshold]]*0.5</f>
        <v>0</v>
      </c>
      <c r="T262" s="248"/>
      <c r="U262" s="281"/>
    </row>
    <row r="263" spans="1:21" s="33" customFormat="1" hidden="1" x14ac:dyDescent="0.25">
      <c r="A263" s="270"/>
      <c r="B263" s="197"/>
      <c r="C263" s="197"/>
      <c r="D263" s="197"/>
      <c r="E263" s="256"/>
      <c r="F263" s="257"/>
      <c r="G263" s="258"/>
      <c r="H263" s="305"/>
      <c r="I263" s="248"/>
      <c r="J263" s="248"/>
      <c r="K263" s="248"/>
      <c r="L263" s="329">
        <f>Table1[[#This Row],[Green target threshold]]+Table1[[#This Row],[Green target threshold]]*0.5</f>
        <v>0</v>
      </c>
      <c r="M263" s="248"/>
      <c r="N263" s="248"/>
      <c r="O263" s="248"/>
      <c r="P263" s="329"/>
      <c r="Q263" s="329"/>
      <c r="R263" s="329"/>
      <c r="S263" s="329">
        <f>Table1[[#This Row],[Red target threshold]]-Table1[[#This Row],[Red target threshold]]*0.5</f>
        <v>0</v>
      </c>
      <c r="T263" s="248"/>
      <c r="U263" s="281"/>
    </row>
    <row r="264" spans="1:21" s="33" customFormat="1" hidden="1" x14ac:dyDescent="0.25">
      <c r="A264" s="270"/>
      <c r="B264" s="197"/>
      <c r="C264" s="197"/>
      <c r="D264" s="197"/>
      <c r="E264" s="256"/>
      <c r="F264" s="257"/>
      <c r="G264" s="258"/>
      <c r="H264" s="305"/>
      <c r="I264" s="248"/>
      <c r="J264" s="248"/>
      <c r="K264" s="248"/>
      <c r="L264" s="329">
        <f>Table1[[#This Row],[Green target threshold]]+Table1[[#This Row],[Green target threshold]]*0.5</f>
        <v>0</v>
      </c>
      <c r="M264" s="248"/>
      <c r="N264" s="248"/>
      <c r="O264" s="248"/>
      <c r="P264" s="329"/>
      <c r="Q264" s="329"/>
      <c r="R264" s="329"/>
      <c r="S264" s="329">
        <f>Table1[[#This Row],[Red target threshold]]-Table1[[#This Row],[Red target threshold]]*0.5</f>
        <v>0</v>
      </c>
      <c r="T264" s="248"/>
      <c r="U264" s="281"/>
    </row>
    <row r="265" spans="1:21" s="33" customFormat="1" hidden="1" x14ac:dyDescent="0.25">
      <c r="A265" s="270"/>
      <c r="B265" s="197"/>
      <c r="C265" s="197"/>
      <c r="D265" s="197"/>
      <c r="E265" s="256"/>
      <c r="F265" s="257"/>
      <c r="G265" s="258"/>
      <c r="H265" s="305"/>
      <c r="I265" s="248"/>
      <c r="J265" s="248"/>
      <c r="K265" s="248"/>
      <c r="L265" s="329">
        <f>Table1[[#This Row],[Green target threshold]]+Table1[[#This Row],[Green target threshold]]*0.5</f>
        <v>0</v>
      </c>
      <c r="M265" s="248"/>
      <c r="N265" s="248"/>
      <c r="O265" s="248"/>
      <c r="P265" s="329"/>
      <c r="Q265" s="329"/>
      <c r="R265" s="329"/>
      <c r="S265" s="329">
        <f>Table1[[#This Row],[Red target threshold]]-Table1[[#This Row],[Red target threshold]]*0.5</f>
        <v>0</v>
      </c>
      <c r="T265" s="248"/>
      <c r="U265" s="281"/>
    </row>
    <row r="266" spans="1:21" s="268" customFormat="1" hidden="1" x14ac:dyDescent="0.25">
      <c r="A266" s="294"/>
      <c r="B266" s="299"/>
      <c r="C266" s="299"/>
      <c r="D266" s="299"/>
      <c r="E266" s="301">
        <v>2005</v>
      </c>
      <c r="F266" s="301">
        <v>2010</v>
      </c>
      <c r="G266" s="301">
        <v>2020</v>
      </c>
      <c r="H266" s="301"/>
      <c r="I266" s="301"/>
      <c r="J266" s="301"/>
      <c r="K266" s="301"/>
      <c r="L266" s="301">
        <f>Table1[[#This Row],[Green target threshold]]+Table1[[#This Row],[Green target threshold]]*0.5</f>
        <v>0</v>
      </c>
      <c r="M266" s="301"/>
      <c r="N266" s="301"/>
      <c r="O266" s="301"/>
      <c r="P266" s="301"/>
      <c r="Q266" s="301"/>
      <c r="R266" s="301"/>
      <c r="S266" s="301">
        <f>Table1[[#This Row],[Red target threshold]]-Table1[[#This Row],[Red target threshold]]*0.5</f>
        <v>0</v>
      </c>
      <c r="T266" s="301"/>
      <c r="U266" s="296"/>
    </row>
    <row r="267" spans="1:21" s="33" customFormat="1" x14ac:dyDescent="0.25">
      <c r="A267" s="302" t="s">
        <v>957</v>
      </c>
      <c r="B267" s="336" t="s">
        <v>25</v>
      </c>
      <c r="C267" s="337" t="s">
        <v>959</v>
      </c>
      <c r="D267" s="336" t="s">
        <v>1086</v>
      </c>
      <c r="E267" s="304">
        <v>101.93460156250001</v>
      </c>
      <c r="F267" s="304">
        <v>112.74639843750001</v>
      </c>
      <c r="G267" s="304">
        <v>152.18899999999999</v>
      </c>
      <c r="H267" s="305">
        <v>2020</v>
      </c>
      <c r="I267" s="305">
        <v>152.18899999999999</v>
      </c>
      <c r="J267" s="305">
        <v>2015</v>
      </c>
      <c r="K267" s="295">
        <v>130.12200000000001</v>
      </c>
      <c r="L267" s="295">
        <f>Table1[[#This Row],[Green target threshold]]-Table1[[#This Row],[Green target threshold]]*0.5</f>
        <v>45.542700000000011</v>
      </c>
      <c r="M267" s="305">
        <f>Table1[[#This Row],[Model reference value]]+Table1[[#This Row],[Model reference value]]*Table1[[#This Row],[Improvement rate]]</f>
        <v>91.085400000000021</v>
      </c>
      <c r="N267" s="305">
        <v>-0.3</v>
      </c>
      <c r="O267" s="305" t="s">
        <v>1140</v>
      </c>
      <c r="P267" s="305">
        <f>(M267-K267)*0.5+K267</f>
        <v>110.60370000000002</v>
      </c>
      <c r="Q267" s="305">
        <f>K267</f>
        <v>130.12200000000001</v>
      </c>
      <c r="R267" s="305">
        <f>K267</f>
        <v>130.12200000000001</v>
      </c>
      <c r="S267" s="305">
        <f>Table1[[#This Row],[Red target threshold]]+Table1[[#This Row],[Red target threshold]]*0.5</f>
        <v>195.18300000000002</v>
      </c>
      <c r="T267" s="305" t="s">
        <v>1089</v>
      </c>
      <c r="U267" s="303" t="s">
        <v>979</v>
      </c>
    </row>
    <row r="268" spans="1:21" s="33" customFormat="1" hidden="1" x14ac:dyDescent="0.25">
      <c r="A268" s="270"/>
      <c r="B268" s="197"/>
      <c r="C268" s="197"/>
      <c r="D268" s="197"/>
      <c r="E268" s="253"/>
      <c r="F268" s="254"/>
      <c r="G268" s="255"/>
      <c r="H268" s="305"/>
      <c r="I268" s="248"/>
      <c r="J268" s="248"/>
      <c r="K268" s="248"/>
      <c r="L268" s="248">
        <f>Table1[[#This Row],[Green target threshold]]+Table1[[#This Row],[Green target threshold]]*0.5</f>
        <v>0</v>
      </c>
      <c r="M268" s="248"/>
      <c r="N268" s="248"/>
      <c r="O268" s="248"/>
      <c r="P268" s="248"/>
      <c r="Q268" s="248"/>
      <c r="R268" s="248"/>
      <c r="S268" s="248">
        <f>Table1[[#This Row],[Red target threshold]]-Table1[[#This Row],[Red target threshold]]*0.5</f>
        <v>0</v>
      </c>
      <c r="T268" s="248"/>
      <c r="U268" s="281"/>
    </row>
    <row r="269" spans="1:21" s="33" customFormat="1" hidden="1" x14ac:dyDescent="0.25">
      <c r="A269" s="270"/>
      <c r="B269" s="197"/>
      <c r="C269" s="197"/>
      <c r="D269" s="197"/>
      <c r="E269" s="253"/>
      <c r="F269" s="254"/>
      <c r="G269" s="255"/>
      <c r="H269" s="305"/>
      <c r="I269" s="248"/>
      <c r="J269" s="248"/>
      <c r="K269" s="248"/>
      <c r="L269" s="248">
        <f>Table1[[#This Row],[Green target threshold]]+Table1[[#This Row],[Green target threshold]]*0.5</f>
        <v>0</v>
      </c>
      <c r="M269" s="248"/>
      <c r="N269" s="248"/>
      <c r="O269" s="248"/>
      <c r="P269" s="248"/>
      <c r="Q269" s="248"/>
      <c r="R269" s="248"/>
      <c r="S269" s="248">
        <f>Table1[[#This Row],[Red target threshold]]-Table1[[#This Row],[Red target threshold]]*0.5</f>
        <v>0</v>
      </c>
      <c r="T269" s="248"/>
      <c r="U269" s="281"/>
    </row>
    <row r="270" spans="1:21" s="33" customFormat="1" hidden="1" x14ac:dyDescent="0.25">
      <c r="A270" s="270"/>
      <c r="B270" s="197"/>
      <c r="C270" s="197"/>
      <c r="D270" s="197"/>
      <c r="E270" s="253"/>
      <c r="F270" s="254"/>
      <c r="G270" s="255"/>
      <c r="H270" s="305"/>
      <c r="I270" s="248"/>
      <c r="J270" s="248"/>
      <c r="K270" s="248"/>
      <c r="L270" s="248">
        <f>Table1[[#This Row],[Green target threshold]]+Table1[[#This Row],[Green target threshold]]*0.5</f>
        <v>0</v>
      </c>
      <c r="M270" s="248"/>
      <c r="N270" s="248"/>
      <c r="O270" s="248"/>
      <c r="P270" s="248"/>
      <c r="Q270" s="248"/>
      <c r="R270" s="248"/>
      <c r="S270" s="248">
        <f>Table1[[#This Row],[Red target threshold]]-Table1[[#This Row],[Red target threshold]]*0.5</f>
        <v>0</v>
      </c>
      <c r="T270" s="248"/>
      <c r="U270" s="281"/>
    </row>
    <row r="271" spans="1:21" s="33" customFormat="1" hidden="1" x14ac:dyDescent="0.25">
      <c r="A271" s="270"/>
      <c r="B271" s="197"/>
      <c r="C271" s="197"/>
      <c r="D271" s="197"/>
      <c r="E271" s="253"/>
      <c r="F271" s="254"/>
      <c r="G271" s="255"/>
      <c r="H271" s="305"/>
      <c r="I271" s="248"/>
      <c r="J271" s="248"/>
      <c r="K271" s="248"/>
      <c r="L271" s="329">
        <f>Table1[[#This Row],[Green target threshold]]+Table1[[#This Row],[Green target threshold]]*0.5</f>
        <v>0</v>
      </c>
      <c r="M271" s="248"/>
      <c r="N271" s="248"/>
      <c r="O271" s="248"/>
      <c r="P271" s="329"/>
      <c r="Q271" s="329"/>
      <c r="R271" s="329"/>
      <c r="S271" s="329">
        <f>Table1[[#This Row],[Red target threshold]]-Table1[[#This Row],[Red target threshold]]*0.5</f>
        <v>0</v>
      </c>
      <c r="T271" s="248"/>
      <c r="U271" s="281"/>
    </row>
    <row r="272" spans="1:21" s="33" customFormat="1" hidden="1" x14ac:dyDescent="0.25">
      <c r="A272" s="270"/>
      <c r="B272" s="197"/>
      <c r="C272" s="197"/>
      <c r="D272" s="197"/>
      <c r="E272" s="253"/>
      <c r="F272" s="254"/>
      <c r="G272" s="255"/>
      <c r="H272" s="305"/>
      <c r="I272" s="248"/>
      <c r="J272" s="248"/>
      <c r="K272" s="248"/>
      <c r="L272" s="329">
        <f>Table1[[#This Row],[Green target threshold]]+Table1[[#This Row],[Green target threshold]]*0.5</f>
        <v>0</v>
      </c>
      <c r="M272" s="248"/>
      <c r="N272" s="248"/>
      <c r="O272" s="248"/>
      <c r="P272" s="329"/>
      <c r="Q272" s="329"/>
      <c r="R272" s="329"/>
      <c r="S272" s="329">
        <f>Table1[[#This Row],[Red target threshold]]-Table1[[#This Row],[Red target threshold]]*0.5</f>
        <v>0</v>
      </c>
      <c r="T272" s="248"/>
      <c r="U272" s="281"/>
    </row>
    <row r="273" spans="1:21" s="33" customFormat="1" hidden="1" x14ac:dyDescent="0.25">
      <c r="A273" s="270"/>
      <c r="B273" s="197"/>
      <c r="C273" s="197"/>
      <c r="D273" s="197"/>
      <c r="E273" s="256"/>
      <c r="F273" s="257"/>
      <c r="G273" s="258"/>
      <c r="H273" s="305"/>
      <c r="I273" s="248"/>
      <c r="J273" s="248"/>
      <c r="K273" s="248"/>
      <c r="L273" s="248">
        <f>Table1[[#This Row],[Green target threshold]]+Table1[[#This Row],[Green target threshold]]*0.5</f>
        <v>0</v>
      </c>
      <c r="M273" s="248"/>
      <c r="N273" s="248"/>
      <c r="O273" s="248"/>
      <c r="P273" s="248"/>
      <c r="Q273" s="248"/>
      <c r="R273" s="248"/>
      <c r="S273" s="248">
        <f>Table1[[#This Row],[Red target threshold]]-Table1[[#This Row],[Red target threshold]]*0.5</f>
        <v>0</v>
      </c>
      <c r="T273" s="248"/>
      <c r="U273" s="281"/>
    </row>
    <row r="274" spans="1:21" s="33" customFormat="1" hidden="1" x14ac:dyDescent="0.25">
      <c r="A274" s="270"/>
      <c r="B274" s="197"/>
      <c r="C274" s="197"/>
      <c r="D274" s="197"/>
      <c r="E274" s="256"/>
      <c r="F274" s="257"/>
      <c r="G274" s="258"/>
      <c r="H274" s="305"/>
      <c r="I274" s="248"/>
      <c r="J274" s="248"/>
      <c r="K274" s="248"/>
      <c r="L274" s="248">
        <f>Table1[[#This Row],[Green target threshold]]+Table1[[#This Row],[Green target threshold]]*0.5</f>
        <v>0</v>
      </c>
      <c r="M274" s="248"/>
      <c r="N274" s="248"/>
      <c r="O274" s="248"/>
      <c r="P274" s="248"/>
      <c r="Q274" s="248"/>
      <c r="R274" s="248"/>
      <c r="S274" s="248">
        <f>Table1[[#This Row],[Red target threshold]]-Table1[[#This Row],[Red target threshold]]*0.5</f>
        <v>0</v>
      </c>
      <c r="T274" s="248"/>
      <c r="U274" s="281"/>
    </row>
    <row r="275" spans="1:21" s="33" customFormat="1" hidden="1" x14ac:dyDescent="0.25">
      <c r="A275" s="270"/>
      <c r="B275" s="197"/>
      <c r="C275" s="197"/>
      <c r="D275" s="197"/>
      <c r="E275" s="256"/>
      <c r="F275" s="257"/>
      <c r="G275" s="258"/>
      <c r="H275" s="305"/>
      <c r="I275" s="248"/>
      <c r="J275" s="248"/>
      <c r="K275" s="248"/>
      <c r="L275" s="329">
        <f>Table1[[#This Row],[Green target threshold]]+Table1[[#This Row],[Green target threshold]]*0.5</f>
        <v>0</v>
      </c>
      <c r="M275" s="248"/>
      <c r="N275" s="248"/>
      <c r="O275" s="248"/>
      <c r="P275" s="329"/>
      <c r="Q275" s="329"/>
      <c r="R275" s="329"/>
      <c r="S275" s="329">
        <f>Table1[[#This Row],[Red target threshold]]-Table1[[#This Row],[Red target threshold]]*0.5</f>
        <v>0</v>
      </c>
      <c r="T275" s="248"/>
      <c r="U275" s="281"/>
    </row>
    <row r="276" spans="1:21" s="33" customFormat="1" hidden="1" x14ac:dyDescent="0.25">
      <c r="A276" s="270"/>
      <c r="B276" s="197"/>
      <c r="C276" s="197"/>
      <c r="D276" s="197"/>
      <c r="E276" s="256"/>
      <c r="F276" s="257"/>
      <c r="G276" s="258"/>
      <c r="H276" s="305"/>
      <c r="I276" s="248"/>
      <c r="J276" s="248"/>
      <c r="K276" s="248"/>
      <c r="L276" s="329">
        <f>Table1[[#This Row],[Green target threshold]]+Table1[[#This Row],[Green target threshold]]*0.5</f>
        <v>0</v>
      </c>
      <c r="M276" s="248"/>
      <c r="N276" s="248"/>
      <c r="O276" s="248"/>
      <c r="P276" s="329"/>
      <c r="Q276" s="329"/>
      <c r="R276" s="329"/>
      <c r="S276" s="329">
        <f>Table1[[#This Row],[Red target threshold]]-Table1[[#This Row],[Red target threshold]]*0.5</f>
        <v>0</v>
      </c>
      <c r="T276" s="248"/>
      <c r="U276" s="281"/>
    </row>
    <row r="277" spans="1:21" s="33" customFormat="1" hidden="1" x14ac:dyDescent="0.25">
      <c r="A277" s="270"/>
      <c r="B277" s="197"/>
      <c r="C277" s="197"/>
      <c r="D277" s="197"/>
      <c r="E277" s="256"/>
      <c r="F277" s="257"/>
      <c r="G277" s="258"/>
      <c r="H277" s="305"/>
      <c r="I277" s="248"/>
      <c r="J277" s="248"/>
      <c r="K277" s="248"/>
      <c r="L277" s="329">
        <f>Table1[[#This Row],[Green target threshold]]+Table1[[#This Row],[Green target threshold]]*0.5</f>
        <v>0</v>
      </c>
      <c r="M277" s="248"/>
      <c r="N277" s="248"/>
      <c r="O277" s="248"/>
      <c r="P277" s="329"/>
      <c r="Q277" s="329"/>
      <c r="R277" s="329"/>
      <c r="S277" s="329">
        <f>Table1[[#This Row],[Red target threshold]]-Table1[[#This Row],[Red target threshold]]*0.5</f>
        <v>0</v>
      </c>
      <c r="T277" s="248"/>
      <c r="U277" s="281"/>
    </row>
    <row r="278" spans="1:21" s="268" customFormat="1" hidden="1" x14ac:dyDescent="0.25">
      <c r="A278" s="294"/>
      <c r="B278" s="299"/>
      <c r="C278" s="299"/>
      <c r="D278" s="299"/>
      <c r="E278" s="301">
        <v>2005</v>
      </c>
      <c r="F278" s="301">
        <v>2010</v>
      </c>
      <c r="G278" s="301">
        <v>2020</v>
      </c>
      <c r="H278" s="301"/>
      <c r="I278" s="301"/>
      <c r="J278" s="301"/>
      <c r="K278" s="301"/>
      <c r="L278" s="301">
        <f>Table1[[#This Row],[Green target threshold]]+Table1[[#This Row],[Green target threshold]]*0.5</f>
        <v>0</v>
      </c>
      <c r="M278" s="301"/>
      <c r="N278" s="301"/>
      <c r="O278" s="301"/>
      <c r="P278" s="301"/>
      <c r="Q278" s="301"/>
      <c r="R278" s="301"/>
      <c r="S278" s="301">
        <f>Table1[[#This Row],[Red target threshold]]-Table1[[#This Row],[Red target threshold]]*0.5</f>
        <v>0</v>
      </c>
      <c r="T278" s="301"/>
      <c r="U278" s="296"/>
    </row>
    <row r="279" spans="1:21" s="33" customFormat="1" x14ac:dyDescent="0.25">
      <c r="A279" s="302" t="s">
        <v>958</v>
      </c>
      <c r="B279" s="336" t="s">
        <v>26</v>
      </c>
      <c r="C279" s="337" t="s">
        <v>959</v>
      </c>
      <c r="D279" s="336" t="s">
        <v>1083</v>
      </c>
      <c r="E279" s="304">
        <v>121.29900000000001</v>
      </c>
      <c r="F279" s="304">
        <v>139.73400000000001</v>
      </c>
      <c r="G279" s="304">
        <v>143.77099999999999</v>
      </c>
      <c r="H279" s="305">
        <v>2020</v>
      </c>
      <c r="I279" s="305">
        <v>143.77099999999999</v>
      </c>
      <c r="J279" s="305">
        <v>2015</v>
      </c>
      <c r="K279" s="295">
        <v>105.98</v>
      </c>
      <c r="L279" s="295">
        <f>Table1[[#This Row],[Green target threshold]]-Table1[[#This Row],[Green target threshold]]*0.5</f>
        <v>37.093000000000004</v>
      </c>
      <c r="M279" s="305">
        <f>Table1[[#This Row],[Model reference value]]+Table1[[#This Row],[Model reference value]]*Table1[[#This Row],[Improvement rate]]</f>
        <v>74.186000000000007</v>
      </c>
      <c r="N279" s="305">
        <v>-0.3</v>
      </c>
      <c r="O279" s="305" t="s">
        <v>1140</v>
      </c>
      <c r="P279" s="305">
        <f>(M279-K279)*0.5+K279</f>
        <v>90.082999999999998</v>
      </c>
      <c r="Q279" s="305">
        <f>K279</f>
        <v>105.98</v>
      </c>
      <c r="R279" s="305">
        <f>K279</f>
        <v>105.98</v>
      </c>
      <c r="S279" s="305">
        <f>Table1[[#This Row],[Red target threshold]]+Table1[[#This Row],[Red target threshold]]*0.5</f>
        <v>158.97</v>
      </c>
      <c r="T279" s="305" t="s">
        <v>1087</v>
      </c>
      <c r="U279" s="303" t="s">
        <v>979</v>
      </c>
    </row>
    <row r="280" spans="1:21" s="33" customFormat="1" hidden="1" x14ac:dyDescent="0.25">
      <c r="A280" s="270"/>
      <c r="B280" s="197"/>
      <c r="C280" s="197"/>
      <c r="D280" s="197"/>
      <c r="E280" s="253"/>
      <c r="F280" s="254"/>
      <c r="G280" s="255"/>
      <c r="H280" s="305">
        <v>2020</v>
      </c>
      <c r="I280" s="248">
        <v>103.524729370117</v>
      </c>
      <c r="J280" s="248"/>
      <c r="K280" s="248"/>
      <c r="L280" s="248">
        <f>Table1[[#This Row],[Green target threshold]]+Table1[[#This Row],[Green target threshold]]*0.5</f>
        <v>0</v>
      </c>
      <c r="M280" s="248"/>
      <c r="N280" s="248"/>
      <c r="O280" s="248"/>
      <c r="P280" s="248"/>
      <c r="Q280" s="248"/>
      <c r="R280" s="248"/>
      <c r="S280" s="248">
        <f>Table1[[#This Row],[Red target threshold]]-Table1[[#This Row],[Red target threshold]]*0.5</f>
        <v>0</v>
      </c>
      <c r="T280" s="248"/>
      <c r="U280" s="281"/>
    </row>
    <row r="281" spans="1:21" s="33" customFormat="1" hidden="1" x14ac:dyDescent="0.25">
      <c r="A281" s="270"/>
      <c r="B281" s="197"/>
      <c r="C281" s="197"/>
      <c r="D281" s="197"/>
      <c r="E281" s="253"/>
      <c r="F281" s="254"/>
      <c r="G281" s="255"/>
      <c r="H281" s="305">
        <v>2020</v>
      </c>
      <c r="I281" s="248">
        <v>37.947967681884698</v>
      </c>
      <c r="J281" s="248"/>
      <c r="K281" s="248"/>
      <c r="L281" s="248">
        <f>Table1[[#This Row],[Green target threshold]]+Table1[[#This Row],[Green target threshold]]*0.5</f>
        <v>0</v>
      </c>
      <c r="M281" s="248"/>
      <c r="N281" s="248"/>
      <c r="O281" s="248"/>
      <c r="P281" s="248"/>
      <c r="Q281" s="248"/>
      <c r="R281" s="248"/>
      <c r="S281" s="248">
        <f>Table1[[#This Row],[Red target threshold]]-Table1[[#This Row],[Red target threshold]]*0.5</f>
        <v>0</v>
      </c>
      <c r="T281" s="248"/>
      <c r="U281" s="281"/>
    </row>
    <row r="282" spans="1:21" s="33" customFormat="1" hidden="1" x14ac:dyDescent="0.25">
      <c r="A282" s="270"/>
      <c r="B282" s="197"/>
      <c r="C282" s="197"/>
      <c r="D282" s="197"/>
      <c r="E282" s="253"/>
      <c r="F282" s="254"/>
      <c r="G282" s="255"/>
      <c r="H282" s="305">
        <v>2020</v>
      </c>
      <c r="I282" s="248">
        <v>7.0896279296875004</v>
      </c>
      <c r="J282" s="248"/>
      <c r="K282" s="248"/>
      <c r="L282" s="248">
        <f>Table1[[#This Row],[Green target threshold]]+Table1[[#This Row],[Green target threshold]]*0.5</f>
        <v>0</v>
      </c>
      <c r="M282" s="248"/>
      <c r="N282" s="248"/>
      <c r="O282" s="248"/>
      <c r="P282" s="248"/>
      <c r="Q282" s="248"/>
      <c r="R282" s="248"/>
      <c r="S282" s="248">
        <f>Table1[[#This Row],[Red target threshold]]-Table1[[#This Row],[Red target threshold]]*0.5</f>
        <v>0</v>
      </c>
      <c r="T282" s="248"/>
      <c r="U282" s="281"/>
    </row>
    <row r="283" spans="1:21" s="33" customFormat="1" hidden="1" x14ac:dyDescent="0.25">
      <c r="A283" s="270"/>
      <c r="B283" s="197"/>
      <c r="C283" s="197"/>
      <c r="D283" s="197"/>
      <c r="E283" s="253"/>
      <c r="F283" s="254"/>
      <c r="G283" s="255"/>
      <c r="H283" s="305"/>
      <c r="I283" s="248"/>
      <c r="J283" s="248"/>
      <c r="K283" s="248"/>
      <c r="L283" s="329">
        <f>Table1[[#This Row],[Green target threshold]]+Table1[[#This Row],[Green target threshold]]*0.5</f>
        <v>0</v>
      </c>
      <c r="M283" s="248"/>
      <c r="N283" s="248"/>
      <c r="O283" s="248"/>
      <c r="P283" s="329"/>
      <c r="Q283" s="329"/>
      <c r="R283" s="329"/>
      <c r="S283" s="329">
        <f>Table1[[#This Row],[Red target threshold]]-Table1[[#This Row],[Red target threshold]]*0.5</f>
        <v>0</v>
      </c>
      <c r="T283" s="248"/>
      <c r="U283" s="281"/>
    </row>
    <row r="284" spans="1:21" s="33" customFormat="1" hidden="1" x14ac:dyDescent="0.25">
      <c r="A284" s="270"/>
      <c r="B284" s="197"/>
      <c r="C284" s="197"/>
      <c r="D284" s="197"/>
      <c r="E284" s="253"/>
      <c r="F284" s="254"/>
      <c r="G284" s="255"/>
      <c r="H284" s="305"/>
      <c r="I284" s="248"/>
      <c r="J284" s="248"/>
      <c r="K284" s="248"/>
      <c r="L284" s="329">
        <f>Table1[[#This Row],[Green target threshold]]+Table1[[#This Row],[Green target threshold]]*0.5</f>
        <v>0</v>
      </c>
      <c r="M284" s="248"/>
      <c r="N284" s="248"/>
      <c r="O284" s="248"/>
      <c r="P284" s="329"/>
      <c r="Q284" s="329"/>
      <c r="R284" s="329"/>
      <c r="S284" s="329">
        <f>Table1[[#This Row],[Red target threshold]]-Table1[[#This Row],[Red target threshold]]*0.5</f>
        <v>0</v>
      </c>
      <c r="T284" s="248"/>
      <c r="U284" s="281"/>
    </row>
    <row r="285" spans="1:21" s="33" customFormat="1" hidden="1" x14ac:dyDescent="0.25">
      <c r="A285" s="270"/>
      <c r="B285" s="197"/>
      <c r="C285" s="197"/>
      <c r="D285" s="197"/>
      <c r="E285" s="256"/>
      <c r="F285" s="257"/>
      <c r="G285" s="258"/>
      <c r="H285" s="305">
        <v>2020</v>
      </c>
      <c r="I285" s="248">
        <v>6.8154045562744097</v>
      </c>
      <c r="J285" s="248"/>
      <c r="K285" s="248"/>
      <c r="L285" s="248">
        <f>Table1[[#This Row],[Green target threshold]]+Table1[[#This Row],[Green target threshold]]*0.5</f>
        <v>0</v>
      </c>
      <c r="M285" s="248"/>
      <c r="N285" s="248"/>
      <c r="O285" s="248"/>
      <c r="P285" s="248"/>
      <c r="Q285" s="248"/>
      <c r="R285" s="248"/>
      <c r="S285" s="248">
        <f>Table1[[#This Row],[Red target threshold]]-Table1[[#This Row],[Red target threshold]]*0.5</f>
        <v>0</v>
      </c>
      <c r="T285" s="248"/>
      <c r="U285" s="281"/>
    </row>
    <row r="286" spans="1:21" s="33" customFormat="1" hidden="1" x14ac:dyDescent="0.25">
      <c r="A286" s="270"/>
      <c r="B286" s="197"/>
      <c r="C286" s="197"/>
      <c r="D286" s="197"/>
      <c r="E286" s="256"/>
      <c r="F286" s="257"/>
      <c r="G286" s="258"/>
      <c r="H286" s="305">
        <v>2020</v>
      </c>
      <c r="I286" s="248">
        <v>3.5240476989745999</v>
      </c>
      <c r="J286" s="248"/>
      <c r="K286" s="248"/>
      <c r="L286" s="248">
        <f>Table1[[#This Row],[Green target threshold]]+Table1[[#This Row],[Green target threshold]]*0.5</f>
        <v>0</v>
      </c>
      <c r="M286" s="248"/>
      <c r="N286" s="248"/>
      <c r="O286" s="248"/>
      <c r="P286" s="248"/>
      <c r="Q286" s="248"/>
      <c r="R286" s="248"/>
      <c r="S286" s="248">
        <f>Table1[[#This Row],[Red target threshold]]-Table1[[#This Row],[Red target threshold]]*0.5</f>
        <v>0</v>
      </c>
      <c r="T286" s="248"/>
      <c r="U286" s="281"/>
    </row>
    <row r="287" spans="1:21" s="33" customFormat="1" hidden="1" x14ac:dyDescent="0.25">
      <c r="A287" s="270"/>
      <c r="B287" s="197"/>
      <c r="C287" s="197"/>
      <c r="D287" s="197"/>
      <c r="E287" s="256"/>
      <c r="F287" s="257"/>
      <c r="G287" s="258"/>
      <c r="H287" s="305"/>
      <c r="I287" s="248"/>
      <c r="J287" s="248"/>
      <c r="K287" s="248"/>
      <c r="L287" s="329">
        <f>Table1[[#This Row],[Green target threshold]]+Table1[[#This Row],[Green target threshold]]*0.5</f>
        <v>0</v>
      </c>
      <c r="M287" s="248"/>
      <c r="N287" s="248"/>
      <c r="O287" s="248"/>
      <c r="P287" s="329"/>
      <c r="Q287" s="329"/>
      <c r="R287" s="329"/>
      <c r="S287" s="329">
        <f>Table1[[#This Row],[Red target threshold]]-Table1[[#This Row],[Red target threshold]]*0.5</f>
        <v>0</v>
      </c>
      <c r="T287" s="248"/>
      <c r="U287" s="281"/>
    </row>
    <row r="288" spans="1:21" s="33" customFormat="1" hidden="1" x14ac:dyDescent="0.25">
      <c r="A288" s="270"/>
      <c r="B288" s="197"/>
      <c r="C288" s="197"/>
      <c r="D288" s="197"/>
      <c r="E288" s="256"/>
      <c r="F288" s="257"/>
      <c r="G288" s="258"/>
      <c r="H288" s="305"/>
      <c r="I288" s="248"/>
      <c r="J288" s="248"/>
      <c r="K288" s="248"/>
      <c r="L288" s="329">
        <f>Table1[[#This Row],[Green target threshold]]+Table1[[#This Row],[Green target threshold]]*0.5</f>
        <v>0</v>
      </c>
      <c r="M288" s="248"/>
      <c r="N288" s="248"/>
      <c r="O288" s="248"/>
      <c r="P288" s="329"/>
      <c r="Q288" s="329"/>
      <c r="R288" s="329"/>
      <c r="S288" s="329">
        <f>Table1[[#This Row],[Red target threshold]]-Table1[[#This Row],[Red target threshold]]*0.5</f>
        <v>0</v>
      </c>
      <c r="T288" s="248"/>
      <c r="U288" s="281"/>
    </row>
    <row r="289" spans="1:21" s="33" customFormat="1" hidden="1" x14ac:dyDescent="0.25">
      <c r="A289" s="270"/>
      <c r="B289" s="197"/>
      <c r="C289" s="197"/>
      <c r="D289" s="197"/>
      <c r="E289" s="256"/>
      <c r="F289" s="257"/>
      <c r="G289" s="258"/>
      <c r="H289" s="305"/>
      <c r="I289" s="248"/>
      <c r="J289" s="248"/>
      <c r="K289" s="248"/>
      <c r="L289" s="329">
        <f>Table1[[#This Row],[Green target threshold]]+Table1[[#This Row],[Green target threshold]]*0.5</f>
        <v>0</v>
      </c>
      <c r="M289" s="248"/>
      <c r="N289" s="248"/>
      <c r="O289" s="248"/>
      <c r="P289" s="329"/>
      <c r="Q289" s="329"/>
      <c r="R289" s="329"/>
      <c r="S289" s="329">
        <f>Table1[[#This Row],[Red target threshold]]-Table1[[#This Row],[Red target threshold]]*0.5</f>
        <v>0</v>
      </c>
      <c r="T289" s="248"/>
      <c r="U289" s="281"/>
    </row>
    <row r="290" spans="1:21" s="262" customFormat="1" hidden="1" x14ac:dyDescent="0.25">
      <c r="A290" s="293"/>
      <c r="B290" s="290"/>
      <c r="C290" s="290"/>
      <c r="D290" s="290"/>
      <c r="E290" s="291">
        <v>2013</v>
      </c>
      <c r="F290" s="291">
        <v>2014</v>
      </c>
      <c r="G290" s="291">
        <v>2015</v>
      </c>
      <c r="H290" s="291"/>
      <c r="I290" s="291"/>
      <c r="J290" s="291"/>
      <c r="K290" s="291"/>
      <c r="L290" s="291">
        <f>Table1[[#This Row],[Green target threshold]]+Table1[[#This Row],[Green target threshold]]*0.5</f>
        <v>0</v>
      </c>
      <c r="M290" s="291"/>
      <c r="N290" s="291"/>
      <c r="O290" s="291"/>
      <c r="P290" s="407"/>
      <c r="Q290" s="291"/>
      <c r="R290" s="291"/>
      <c r="S290" s="291">
        <f>Table1[[#This Row],[Red target threshold]]-Table1[[#This Row],[Red target threshold]]*0.5</f>
        <v>0</v>
      </c>
      <c r="T290" s="291"/>
      <c r="U290" s="297"/>
    </row>
    <row r="291" spans="1:21" hidden="1" x14ac:dyDescent="0.25">
      <c r="A291" s="302" t="s">
        <v>571</v>
      </c>
      <c r="B291" s="337" t="s">
        <v>483</v>
      </c>
      <c r="C291" s="337" t="s">
        <v>843</v>
      </c>
      <c r="D291" s="336" t="s">
        <v>904</v>
      </c>
      <c r="E291" s="304">
        <v>5.488310501</v>
      </c>
      <c r="F291" s="304">
        <v>5.2860607750000002</v>
      </c>
      <c r="G291" s="304">
        <v>5.1313796829999996</v>
      </c>
      <c r="H291" s="305">
        <v>2015</v>
      </c>
      <c r="I291" s="305">
        <v>5.1313796829999996</v>
      </c>
      <c r="J291" s="305">
        <v>2015</v>
      </c>
      <c r="K291" s="295">
        <v>7.7073099999999997</v>
      </c>
      <c r="L291" s="295">
        <f>Table1[[#This Row],[Green target threshold]]-Table1[[#This Row],[Green target threshold]]*0.5</f>
        <v>1.2828449207499999</v>
      </c>
      <c r="M291" s="305">
        <f>I291/2</f>
        <v>2.5656898414999998</v>
      </c>
      <c r="N291" s="305"/>
      <c r="O291" s="305" t="s">
        <v>982</v>
      </c>
      <c r="P291" s="305">
        <f>(M291-K291)*0.5+K291</f>
        <v>5.1364999207499995</v>
      </c>
      <c r="Q291" s="305">
        <f>K291</f>
        <v>7.7073099999999997</v>
      </c>
      <c r="R291" s="305">
        <f>K291</f>
        <v>7.7073099999999997</v>
      </c>
      <c r="S291" s="305">
        <f>Table1[[#This Row],[Red target threshold]]+Table1[[#This Row],[Red target threshold]]*0.5</f>
        <v>11.560964999999999</v>
      </c>
      <c r="T291" s="305" t="s">
        <v>984</v>
      </c>
      <c r="U291" s="303" t="s">
        <v>839</v>
      </c>
    </row>
    <row r="292" spans="1:21" hidden="1" x14ac:dyDescent="0.25">
      <c r="A292" s="271"/>
      <c r="B292" s="173"/>
      <c r="C292" s="173"/>
      <c r="D292" s="252" t="s">
        <v>712</v>
      </c>
      <c r="E292" s="253">
        <v>16.734988560000001</v>
      </c>
      <c r="F292" s="254">
        <v>16.582300740000001</v>
      </c>
      <c r="G292" s="255">
        <v>17.310574519999999</v>
      </c>
      <c r="H292" s="305">
        <v>2015</v>
      </c>
      <c r="I292" s="248">
        <v>17.310574519999999</v>
      </c>
      <c r="J292" s="248"/>
      <c r="K292" s="248"/>
      <c r="L292" s="248">
        <f>Table1[[#This Row],[Green target threshold]]+Table1[[#This Row],[Green target threshold]]*0.5</f>
        <v>0</v>
      </c>
      <c r="M292" s="248"/>
      <c r="N292" s="248"/>
      <c r="O292" s="248"/>
      <c r="P292" s="248"/>
      <c r="Q292" s="248"/>
      <c r="R292" s="248"/>
      <c r="S292" s="248">
        <f>Table1[[#This Row],[Red target threshold]]-Table1[[#This Row],[Red target threshold]]*0.5</f>
        <v>0</v>
      </c>
      <c r="T292" s="248"/>
      <c r="U292" s="278"/>
    </row>
    <row r="293" spans="1:21" hidden="1" x14ac:dyDescent="0.25">
      <c r="A293" s="271"/>
      <c r="B293" s="173"/>
      <c r="C293" s="173"/>
      <c r="D293" s="252" t="s">
        <v>840</v>
      </c>
      <c r="E293" s="253">
        <v>11.89074847</v>
      </c>
      <c r="F293" s="254">
        <v>11.0696613</v>
      </c>
      <c r="G293" s="255">
        <v>9.9933753870000004</v>
      </c>
      <c r="H293" s="305">
        <v>2015</v>
      </c>
      <c r="I293" s="248">
        <v>9.9933753870000004</v>
      </c>
      <c r="J293" s="248"/>
      <c r="K293" s="248"/>
      <c r="L293" s="248">
        <f>Table1[[#This Row],[Green target threshold]]+Table1[[#This Row],[Green target threshold]]*0.5</f>
        <v>0</v>
      </c>
      <c r="M293" s="248"/>
      <c r="N293" s="248"/>
      <c r="O293" s="248"/>
      <c r="P293" s="248"/>
      <c r="Q293" s="248"/>
      <c r="R293" s="248"/>
      <c r="S293" s="248">
        <f>Table1[[#This Row],[Red target threshold]]-Table1[[#This Row],[Red target threshold]]*0.5</f>
        <v>0</v>
      </c>
      <c r="T293" s="248"/>
      <c r="U293" s="278"/>
    </row>
    <row r="294" spans="1:21" hidden="1" x14ac:dyDescent="0.25">
      <c r="A294" s="271"/>
      <c r="B294" s="173"/>
      <c r="C294" s="173"/>
      <c r="D294" s="252" t="s">
        <v>776</v>
      </c>
      <c r="E294" s="253">
        <v>8.8373241339999993</v>
      </c>
      <c r="F294" s="254">
        <v>9.0336274939999992</v>
      </c>
      <c r="G294" s="255">
        <v>8.6993253500000005</v>
      </c>
      <c r="H294" s="305">
        <v>2015</v>
      </c>
      <c r="I294" s="248">
        <v>8.6993253500000005</v>
      </c>
      <c r="J294" s="248"/>
      <c r="K294" s="248"/>
      <c r="L294" s="248">
        <f>Table1[[#This Row],[Green target threshold]]+Table1[[#This Row],[Green target threshold]]*0.5</f>
        <v>0</v>
      </c>
      <c r="M294" s="248"/>
      <c r="N294" s="248"/>
      <c r="O294" s="248"/>
      <c r="P294" s="248"/>
      <c r="Q294" s="248"/>
      <c r="R294" s="248"/>
      <c r="S294" s="248">
        <f>Table1[[#This Row],[Red target threshold]]-Table1[[#This Row],[Red target threshold]]*0.5</f>
        <v>0</v>
      </c>
      <c r="T294" s="248"/>
      <c r="U294" s="278"/>
    </row>
    <row r="295" spans="1:21" hidden="1" x14ac:dyDescent="0.25">
      <c r="A295" s="271"/>
      <c r="B295" s="173"/>
      <c r="C295" s="173"/>
      <c r="D295" s="252" t="s">
        <v>841</v>
      </c>
      <c r="E295" s="253">
        <v>8.4565370820000005</v>
      </c>
      <c r="F295" s="254">
        <v>8.3456060240000003</v>
      </c>
      <c r="G295" s="255">
        <v>8.4132177509999995</v>
      </c>
      <c r="H295" s="305">
        <v>2015</v>
      </c>
      <c r="I295" s="248">
        <v>8.4132177509999995</v>
      </c>
      <c r="J295" s="248"/>
      <c r="K295" s="248"/>
      <c r="L295" s="248">
        <f>Table1[[#This Row],[Green target threshold]]+Table1[[#This Row],[Green target threshold]]*0.5</f>
        <v>0</v>
      </c>
      <c r="M295" s="248"/>
      <c r="N295" s="248"/>
      <c r="O295" s="248"/>
      <c r="P295" s="248"/>
      <c r="Q295" s="248"/>
      <c r="R295" s="248"/>
      <c r="S295" s="248">
        <f>Table1[[#This Row],[Red target threshold]]-Table1[[#This Row],[Red target threshold]]*0.5</f>
        <v>0</v>
      </c>
      <c r="T295" s="248"/>
      <c r="U295" s="278"/>
    </row>
    <row r="296" spans="1:21" hidden="1" x14ac:dyDescent="0.25">
      <c r="A296" s="271"/>
      <c r="B296" s="173"/>
      <c r="C296" s="173"/>
      <c r="D296" s="252" t="s">
        <v>842</v>
      </c>
      <c r="E296" s="253">
        <v>7.9524161830000004</v>
      </c>
      <c r="F296" s="254">
        <v>8.1606778260000006</v>
      </c>
      <c r="G296" s="255">
        <v>8.3922668569999992</v>
      </c>
      <c r="H296" s="305">
        <v>2015</v>
      </c>
      <c r="I296" s="248">
        <v>8.3922668569999992</v>
      </c>
      <c r="J296" s="248"/>
      <c r="K296" s="248"/>
      <c r="L296" s="248">
        <f>Table1[[#This Row],[Green target threshold]]+Table1[[#This Row],[Green target threshold]]*0.5</f>
        <v>0</v>
      </c>
      <c r="M296" s="248"/>
      <c r="N296" s="248"/>
      <c r="O296" s="248"/>
      <c r="P296" s="248"/>
      <c r="Q296" s="248"/>
      <c r="R296" s="248"/>
      <c r="S296" s="248">
        <f>Table1[[#This Row],[Red target threshold]]-Table1[[#This Row],[Red target threshold]]*0.5</f>
        <v>0</v>
      </c>
      <c r="T296" s="248"/>
      <c r="U296" s="278"/>
    </row>
    <row r="297" spans="1:21" hidden="1" x14ac:dyDescent="0.25">
      <c r="A297" s="271"/>
      <c r="B297" s="173"/>
      <c r="C297" s="173"/>
      <c r="D297" s="252" t="s">
        <v>708</v>
      </c>
      <c r="E297" s="256">
        <v>1.573636727</v>
      </c>
      <c r="F297" s="257">
        <v>1.5536858140000001</v>
      </c>
      <c r="G297" s="258">
        <v>1.488085793</v>
      </c>
      <c r="H297" s="305">
        <v>2015</v>
      </c>
      <c r="I297" s="248">
        <v>1.488085793</v>
      </c>
      <c r="J297" s="248"/>
      <c r="K297" s="248"/>
      <c r="L297" s="248">
        <f>Table1[[#This Row],[Green target threshold]]+Table1[[#This Row],[Green target threshold]]*0.5</f>
        <v>0</v>
      </c>
      <c r="M297" s="248"/>
      <c r="N297" s="248"/>
      <c r="O297" s="248"/>
      <c r="P297" s="248"/>
      <c r="Q297" s="248"/>
      <c r="R297" s="248"/>
      <c r="S297" s="248">
        <f>Table1[[#This Row],[Red target threshold]]-Table1[[#This Row],[Red target threshold]]*0.5</f>
        <v>0</v>
      </c>
      <c r="T297" s="248"/>
      <c r="U297" s="278"/>
    </row>
    <row r="298" spans="1:21" hidden="1" x14ac:dyDescent="0.25">
      <c r="A298" s="271"/>
      <c r="B298" s="173"/>
      <c r="C298" s="173"/>
      <c r="D298" s="252" t="s">
        <v>681</v>
      </c>
      <c r="E298" s="256">
        <v>2.5662079969999998</v>
      </c>
      <c r="F298" s="257">
        <v>2.3651286439999999</v>
      </c>
      <c r="G298" s="258">
        <v>1.94829341</v>
      </c>
      <c r="H298" s="305">
        <v>2015</v>
      </c>
      <c r="I298" s="248">
        <v>1.94829341</v>
      </c>
      <c r="J298" s="248"/>
      <c r="K298" s="248"/>
      <c r="L298" s="248">
        <f>Table1[[#This Row],[Green target threshold]]+Table1[[#This Row],[Green target threshold]]*0.5</f>
        <v>0</v>
      </c>
      <c r="M298" s="248"/>
      <c r="N298" s="248"/>
      <c r="O298" s="248"/>
      <c r="P298" s="248"/>
      <c r="Q298" s="248"/>
      <c r="R298" s="248"/>
      <c r="S298" s="248">
        <f>Table1[[#This Row],[Red target threshold]]-Table1[[#This Row],[Red target threshold]]*0.5</f>
        <v>0</v>
      </c>
      <c r="T298" s="248"/>
      <c r="U298" s="278"/>
    </row>
    <row r="299" spans="1:21" hidden="1" x14ac:dyDescent="0.25">
      <c r="A299" s="271"/>
      <c r="B299" s="173"/>
      <c r="C299" s="173"/>
      <c r="D299" s="252" t="s">
        <v>844</v>
      </c>
      <c r="E299" s="256">
        <v>1.9929817830000001</v>
      </c>
      <c r="F299" s="257">
        <v>2.0328378420000002</v>
      </c>
      <c r="G299" s="258">
        <v>2.0641317899999998</v>
      </c>
      <c r="H299" s="305">
        <v>2015</v>
      </c>
      <c r="I299" s="248">
        <v>2.0641317899999998</v>
      </c>
      <c r="J299" s="248"/>
      <c r="K299" s="248"/>
      <c r="L299" s="248">
        <f>Table1[[#This Row],[Green target threshold]]+Table1[[#This Row],[Green target threshold]]*0.5</f>
        <v>0</v>
      </c>
      <c r="M299" s="248"/>
      <c r="N299" s="248"/>
      <c r="O299" s="248"/>
      <c r="P299" s="248"/>
      <c r="Q299" s="248"/>
      <c r="R299" s="248"/>
      <c r="S299" s="248">
        <f>Table1[[#This Row],[Red target threshold]]-Table1[[#This Row],[Red target threshold]]*0.5</f>
        <v>0</v>
      </c>
      <c r="T299" s="248"/>
      <c r="U299" s="278"/>
    </row>
    <row r="300" spans="1:21" hidden="1" x14ac:dyDescent="0.25">
      <c r="A300" s="271"/>
      <c r="B300" s="173"/>
      <c r="C300" s="173"/>
      <c r="D300" s="252" t="s">
        <v>845</v>
      </c>
      <c r="E300" s="256">
        <v>2.1300609690000001</v>
      </c>
      <c r="F300" s="257">
        <v>2.1336234599999999</v>
      </c>
      <c r="G300" s="258">
        <v>2.1072221440000001</v>
      </c>
      <c r="H300" s="305">
        <v>2015</v>
      </c>
      <c r="I300" s="248">
        <v>2.1072221440000001</v>
      </c>
      <c r="J300" s="248"/>
      <c r="K300" s="248"/>
      <c r="L300" s="248">
        <f>Table1[[#This Row],[Green target threshold]]+Table1[[#This Row],[Green target threshold]]*0.5</f>
        <v>0</v>
      </c>
      <c r="M300" s="248"/>
      <c r="N300" s="248"/>
      <c r="O300" s="248"/>
      <c r="P300" s="248"/>
      <c r="Q300" s="248"/>
      <c r="R300" s="248"/>
      <c r="S300" s="248">
        <f>Table1[[#This Row],[Red target threshold]]-Table1[[#This Row],[Red target threshold]]*0.5</f>
        <v>0</v>
      </c>
      <c r="T300" s="248"/>
      <c r="U300" s="278"/>
    </row>
    <row r="301" spans="1:21" hidden="1" x14ac:dyDescent="0.25">
      <c r="A301" s="271"/>
      <c r="B301" s="173"/>
      <c r="C301" s="173"/>
      <c r="D301" s="252" t="s">
        <v>700</v>
      </c>
      <c r="E301" s="256">
        <v>2.5192469700000002</v>
      </c>
      <c r="F301" s="257">
        <v>2.2604591460000001</v>
      </c>
      <c r="G301" s="258">
        <v>2.194576273</v>
      </c>
      <c r="H301" s="305">
        <v>2015</v>
      </c>
      <c r="I301" s="248">
        <v>2.194576273</v>
      </c>
      <c r="J301" s="248"/>
      <c r="K301" s="248"/>
      <c r="L301" s="248">
        <f>Table1[[#This Row],[Green target threshold]]+Table1[[#This Row],[Green target threshold]]*0.5</f>
        <v>0</v>
      </c>
      <c r="M301" s="248"/>
      <c r="N301" s="248"/>
      <c r="O301" s="248"/>
      <c r="P301" s="248"/>
      <c r="Q301" s="248"/>
      <c r="R301" s="248"/>
      <c r="S301" s="248">
        <f>Table1[[#This Row],[Red target threshold]]-Table1[[#This Row],[Red target threshold]]*0.5</f>
        <v>0</v>
      </c>
      <c r="T301" s="248"/>
      <c r="U301" s="278"/>
    </row>
    <row r="302" spans="1:21" s="262" customFormat="1" hidden="1" x14ac:dyDescent="0.25">
      <c r="A302" s="293"/>
      <c r="B302" s="290"/>
      <c r="C302" s="290"/>
      <c r="D302" s="290"/>
      <c r="E302" s="291"/>
      <c r="F302" s="291"/>
      <c r="G302" s="291">
        <v>2015</v>
      </c>
      <c r="H302" s="291"/>
      <c r="I302" s="291"/>
      <c r="J302" s="291"/>
      <c r="K302" s="291"/>
      <c r="L302" s="291">
        <f>Table1[[#This Row],[Green target threshold]]+Table1[[#This Row],[Green target threshold]]*0.5</f>
        <v>0</v>
      </c>
      <c r="M302" s="291"/>
      <c r="N302" s="291"/>
      <c r="O302" s="291"/>
      <c r="P302" s="291"/>
      <c r="Q302" s="291"/>
      <c r="R302" s="291"/>
      <c r="S302" s="291">
        <f>Table1[[#This Row],[Red target threshold]]-Table1[[#This Row],[Red target threshold]]*0.5</f>
        <v>0</v>
      </c>
      <c r="T302" s="291"/>
      <c r="U302" s="297"/>
    </row>
    <row r="303" spans="1:21" hidden="1" x14ac:dyDescent="0.25">
      <c r="A303" s="302" t="s">
        <v>572</v>
      </c>
      <c r="B303" s="337" t="s">
        <v>486</v>
      </c>
      <c r="C303" s="337" t="s">
        <v>473</v>
      </c>
      <c r="D303" s="336" t="s">
        <v>904</v>
      </c>
      <c r="E303" s="304"/>
      <c r="F303" s="304"/>
      <c r="G303" s="304">
        <v>0.03</v>
      </c>
      <c r="H303" s="305">
        <v>2015</v>
      </c>
      <c r="I303" s="305">
        <v>0.03</v>
      </c>
      <c r="J303" s="305">
        <v>2015</v>
      </c>
      <c r="K303" s="295">
        <v>3.4072400000000003E-2</v>
      </c>
      <c r="L303" s="295">
        <v>1</v>
      </c>
      <c r="M303" s="305">
        <f>AVERAGE(G304:G313)</f>
        <v>0.7</v>
      </c>
      <c r="N303" s="305"/>
      <c r="O303" s="305" t="s">
        <v>978</v>
      </c>
      <c r="P303" s="305">
        <f>(M303-K303)*0.5+K303</f>
        <v>0.36703619999999998</v>
      </c>
      <c r="Q303" s="305">
        <f>K303</f>
        <v>3.4072400000000003E-2</v>
      </c>
      <c r="R303" s="305">
        <f>K303</f>
        <v>3.4072400000000003E-2</v>
      </c>
      <c r="S303" s="305">
        <v>0</v>
      </c>
      <c r="T303" s="305" t="s">
        <v>1039</v>
      </c>
      <c r="U303" s="303" t="s">
        <v>837</v>
      </c>
    </row>
    <row r="304" spans="1:21" hidden="1" x14ac:dyDescent="0.25">
      <c r="A304" s="271"/>
      <c r="B304" s="173"/>
      <c r="C304" s="173"/>
      <c r="D304" s="252" t="s">
        <v>834</v>
      </c>
      <c r="E304" s="253"/>
      <c r="F304" s="254"/>
      <c r="G304" s="255">
        <v>1.4</v>
      </c>
      <c r="H304" s="305">
        <v>2015</v>
      </c>
      <c r="I304" s="248">
        <v>1.4</v>
      </c>
      <c r="J304" s="248"/>
      <c r="K304" s="248"/>
      <c r="L304" s="248">
        <f>Table1[[#This Row],[Green target threshold]]+Table1[[#This Row],[Green target threshold]]*0.5</f>
        <v>0</v>
      </c>
      <c r="M304" s="248"/>
      <c r="N304" s="248"/>
      <c r="O304" s="248"/>
      <c r="P304" s="248"/>
      <c r="Q304" s="248"/>
      <c r="R304" s="248"/>
      <c r="S304" s="248">
        <f>Table1[[#This Row],[Red target threshold]]-Table1[[#This Row],[Red target threshold]]*0.5</f>
        <v>0</v>
      </c>
      <c r="T304" s="248"/>
      <c r="U304" s="278"/>
    </row>
    <row r="305" spans="1:21" hidden="1" x14ac:dyDescent="0.25">
      <c r="A305" s="271"/>
      <c r="B305" s="173"/>
      <c r="C305" s="173"/>
      <c r="D305" s="252" t="s">
        <v>776</v>
      </c>
      <c r="E305" s="253"/>
      <c r="F305" s="254"/>
      <c r="G305" s="255">
        <v>1.4</v>
      </c>
      <c r="H305" s="305">
        <v>2015</v>
      </c>
      <c r="I305" s="248">
        <v>1.4</v>
      </c>
      <c r="J305" s="248"/>
      <c r="K305" s="248"/>
      <c r="L305" s="248">
        <f>Table1[[#This Row],[Green target threshold]]+Table1[[#This Row],[Green target threshold]]*0.5</f>
        <v>0</v>
      </c>
      <c r="M305" s="248"/>
      <c r="N305" s="248"/>
      <c r="O305" s="248"/>
      <c r="P305" s="248"/>
      <c r="Q305" s="248"/>
      <c r="R305" s="248"/>
      <c r="S305" s="248">
        <f>Table1[[#This Row],[Red target threshold]]-Table1[[#This Row],[Red target threshold]]*0.5</f>
        <v>0</v>
      </c>
      <c r="T305" s="248"/>
      <c r="U305" s="278"/>
    </row>
    <row r="306" spans="1:21" hidden="1" x14ac:dyDescent="0.25">
      <c r="A306" s="271"/>
      <c r="B306" s="173"/>
      <c r="C306" s="173"/>
      <c r="D306" s="252" t="s">
        <v>777</v>
      </c>
      <c r="E306" s="253"/>
      <c r="F306" s="254"/>
      <c r="G306" s="255">
        <v>0.9</v>
      </c>
      <c r="H306" s="305">
        <v>2015</v>
      </c>
      <c r="I306" s="248">
        <v>0.9</v>
      </c>
      <c r="J306" s="248"/>
      <c r="K306" s="248"/>
      <c r="L306" s="248">
        <f>Table1[[#This Row],[Green target threshold]]+Table1[[#This Row],[Green target threshold]]*0.5</f>
        <v>0</v>
      </c>
      <c r="M306" s="248"/>
      <c r="N306" s="248"/>
      <c r="O306" s="248"/>
      <c r="P306" s="248"/>
      <c r="Q306" s="248"/>
      <c r="R306" s="248"/>
      <c r="S306" s="248">
        <f>Table1[[#This Row],[Red target threshold]]-Table1[[#This Row],[Red target threshold]]*0.5</f>
        <v>0</v>
      </c>
      <c r="T306" s="248"/>
      <c r="U306" s="278"/>
    </row>
    <row r="307" spans="1:21" hidden="1" x14ac:dyDescent="0.25">
      <c r="A307" s="271"/>
      <c r="B307" s="173"/>
      <c r="C307" s="173"/>
      <c r="D307" s="252" t="s">
        <v>715</v>
      </c>
      <c r="E307" s="253"/>
      <c r="F307" s="254"/>
      <c r="G307" s="255">
        <v>0.8</v>
      </c>
      <c r="H307" s="305">
        <v>2015</v>
      </c>
      <c r="I307" s="248">
        <v>0.8</v>
      </c>
      <c r="J307" s="248"/>
      <c r="K307" s="248"/>
      <c r="L307" s="248">
        <f>Table1[[#This Row],[Green target threshold]]+Table1[[#This Row],[Green target threshold]]*0.5</f>
        <v>0</v>
      </c>
      <c r="M307" s="248"/>
      <c r="N307" s="248"/>
      <c r="O307" s="248"/>
      <c r="P307" s="248"/>
      <c r="Q307" s="248"/>
      <c r="R307" s="248"/>
      <c r="S307" s="248">
        <f>Table1[[#This Row],[Red target threshold]]-Table1[[#This Row],[Red target threshold]]*0.5</f>
        <v>0</v>
      </c>
      <c r="T307" s="248"/>
      <c r="U307" s="278"/>
    </row>
    <row r="308" spans="1:21" hidden="1" x14ac:dyDescent="0.25">
      <c r="A308" s="271"/>
      <c r="B308" s="173"/>
      <c r="C308" s="173"/>
      <c r="D308" s="252" t="s">
        <v>835</v>
      </c>
      <c r="E308" s="253"/>
      <c r="F308" s="254"/>
      <c r="G308" s="255">
        <v>0.8</v>
      </c>
      <c r="H308" s="305">
        <v>2015</v>
      </c>
      <c r="I308" s="248">
        <v>0.8</v>
      </c>
      <c r="J308" s="248"/>
      <c r="K308" s="248"/>
      <c r="L308" s="248">
        <f>Table1[[#This Row],[Green target threshold]]+Table1[[#This Row],[Green target threshold]]*0.5</f>
        <v>0</v>
      </c>
      <c r="M308" s="248"/>
      <c r="N308" s="248"/>
      <c r="O308" s="248"/>
      <c r="P308" s="248"/>
      <c r="Q308" s="248"/>
      <c r="R308" s="248"/>
      <c r="S308" s="248">
        <f>Table1[[#This Row],[Red target threshold]]-Table1[[#This Row],[Red target threshold]]*0.5</f>
        <v>0</v>
      </c>
      <c r="T308" s="248"/>
      <c r="U308" s="278"/>
    </row>
    <row r="309" spans="1:21" hidden="1" x14ac:dyDescent="0.25">
      <c r="A309" s="271"/>
      <c r="B309" s="173"/>
      <c r="C309" s="173"/>
      <c r="D309" s="252" t="s">
        <v>691</v>
      </c>
      <c r="E309" s="256"/>
      <c r="F309" s="257"/>
      <c r="G309" s="258">
        <v>0.5</v>
      </c>
      <c r="H309" s="305">
        <v>2015</v>
      </c>
      <c r="I309" s="248">
        <v>0.5</v>
      </c>
      <c r="J309" s="248"/>
      <c r="K309" s="248"/>
      <c r="L309" s="248">
        <f>Table1[[#This Row],[Green target threshold]]+Table1[[#This Row],[Green target threshold]]*0.5</f>
        <v>0</v>
      </c>
      <c r="M309" s="248"/>
      <c r="N309" s="248"/>
      <c r="O309" s="248"/>
      <c r="P309" s="248"/>
      <c r="Q309" s="248"/>
      <c r="R309" s="248"/>
      <c r="S309" s="248">
        <f>Table1[[#This Row],[Red target threshold]]-Table1[[#This Row],[Red target threshold]]*0.5</f>
        <v>0</v>
      </c>
      <c r="T309" s="248"/>
      <c r="U309" s="278"/>
    </row>
    <row r="310" spans="1:21" hidden="1" x14ac:dyDescent="0.25">
      <c r="A310" s="271"/>
      <c r="B310" s="173"/>
      <c r="C310" s="173"/>
      <c r="D310" s="252" t="s">
        <v>778</v>
      </c>
      <c r="E310" s="256"/>
      <c r="F310" s="257"/>
      <c r="G310" s="258">
        <v>0.4</v>
      </c>
      <c r="H310" s="305">
        <v>2015</v>
      </c>
      <c r="I310" s="248">
        <v>0.4</v>
      </c>
      <c r="J310" s="248"/>
      <c r="K310" s="248"/>
      <c r="L310" s="248">
        <f>Table1[[#This Row],[Green target threshold]]+Table1[[#This Row],[Green target threshold]]*0.5</f>
        <v>0</v>
      </c>
      <c r="M310" s="248"/>
      <c r="N310" s="248"/>
      <c r="O310" s="248"/>
      <c r="P310" s="248"/>
      <c r="Q310" s="248"/>
      <c r="R310" s="248"/>
      <c r="S310" s="248">
        <f>Table1[[#This Row],[Red target threshold]]-Table1[[#This Row],[Red target threshold]]*0.5</f>
        <v>0</v>
      </c>
      <c r="T310" s="248"/>
      <c r="U310" s="278"/>
    </row>
    <row r="311" spans="1:21" hidden="1" x14ac:dyDescent="0.25">
      <c r="A311" s="271"/>
      <c r="B311" s="173"/>
      <c r="C311" s="173"/>
      <c r="D311" s="252" t="s">
        <v>720</v>
      </c>
      <c r="E311" s="256"/>
      <c r="F311" s="257"/>
      <c r="G311" s="258">
        <v>0.3</v>
      </c>
      <c r="H311" s="305">
        <v>2015</v>
      </c>
      <c r="I311" s="248">
        <v>0.3</v>
      </c>
      <c r="J311" s="248"/>
      <c r="K311" s="248"/>
      <c r="L311" s="248">
        <f>Table1[[#This Row],[Green target threshold]]+Table1[[#This Row],[Green target threshold]]*0.5</f>
        <v>0</v>
      </c>
      <c r="M311" s="248"/>
      <c r="N311" s="248"/>
      <c r="O311" s="248"/>
      <c r="P311" s="248"/>
      <c r="Q311" s="248"/>
      <c r="R311" s="248"/>
      <c r="S311" s="248">
        <f>Table1[[#This Row],[Red target threshold]]-Table1[[#This Row],[Red target threshold]]*0.5</f>
        <v>0</v>
      </c>
      <c r="T311" s="248"/>
      <c r="U311" s="278"/>
    </row>
    <row r="312" spans="1:21" hidden="1" x14ac:dyDescent="0.25">
      <c r="A312" s="271"/>
      <c r="B312" s="173"/>
      <c r="C312" s="173"/>
      <c r="D312" s="252" t="s">
        <v>836</v>
      </c>
      <c r="E312" s="256"/>
      <c r="F312" s="257"/>
      <c r="G312" s="258">
        <v>0.3</v>
      </c>
      <c r="H312" s="305">
        <v>2015</v>
      </c>
      <c r="I312" s="248">
        <v>0.3</v>
      </c>
      <c r="J312" s="248"/>
      <c r="K312" s="248"/>
      <c r="L312" s="248">
        <f>Table1[[#This Row],[Green target threshold]]+Table1[[#This Row],[Green target threshold]]*0.5</f>
        <v>0</v>
      </c>
      <c r="M312" s="248"/>
      <c r="N312" s="248"/>
      <c r="O312" s="248"/>
      <c r="P312" s="248"/>
      <c r="Q312" s="248"/>
      <c r="R312" s="248"/>
      <c r="S312" s="248">
        <f>Table1[[#This Row],[Red target threshold]]-Table1[[#This Row],[Red target threshold]]*0.5</f>
        <v>0</v>
      </c>
      <c r="T312" s="248"/>
      <c r="U312" s="278"/>
    </row>
    <row r="313" spans="1:21" hidden="1" x14ac:dyDescent="0.25">
      <c r="A313" s="271"/>
      <c r="B313" s="173"/>
      <c r="C313" s="173"/>
      <c r="D313" s="252" t="s">
        <v>703</v>
      </c>
      <c r="E313" s="256"/>
      <c r="F313" s="257"/>
      <c r="G313" s="258">
        <v>0.2</v>
      </c>
      <c r="H313" s="305">
        <v>2015</v>
      </c>
      <c r="I313" s="248">
        <v>0.2</v>
      </c>
      <c r="J313" s="248"/>
      <c r="K313" s="248"/>
      <c r="L313" s="248">
        <f>Table1[[#This Row],[Green target threshold]]+Table1[[#This Row],[Green target threshold]]*0.5</f>
        <v>0</v>
      </c>
      <c r="M313" s="248"/>
      <c r="N313" s="248"/>
      <c r="O313" s="248"/>
      <c r="P313" s="248"/>
      <c r="Q313" s="248"/>
      <c r="R313" s="248"/>
      <c r="S313" s="248">
        <f>Table1[[#This Row],[Red target threshold]]-Table1[[#This Row],[Red target threshold]]*0.5</f>
        <v>0</v>
      </c>
      <c r="T313" s="248"/>
      <c r="U313" s="278"/>
    </row>
    <row r="314" spans="1:21" s="262" customFormat="1" hidden="1" x14ac:dyDescent="0.25">
      <c r="A314" s="293"/>
      <c r="B314" s="290"/>
      <c r="C314" s="290"/>
      <c r="D314" s="290"/>
      <c r="E314" s="291">
        <v>2016</v>
      </c>
      <c r="F314" s="291">
        <v>2017</v>
      </c>
      <c r="G314" s="291">
        <v>2018</v>
      </c>
      <c r="H314" s="291"/>
      <c r="I314" s="291"/>
      <c r="J314" s="291"/>
      <c r="K314" s="291"/>
      <c r="L314" s="291">
        <f>Table1[[#This Row],[Green target threshold]]+Table1[[#This Row],[Green target threshold]]*0.5</f>
        <v>0</v>
      </c>
      <c r="M314" s="291"/>
      <c r="N314" s="291"/>
      <c r="O314" s="291"/>
      <c r="P314" s="291"/>
      <c r="Q314" s="291"/>
      <c r="R314" s="291"/>
      <c r="S314" s="291">
        <f>Table1[[#This Row],[Red target threshold]]-Table1[[#This Row],[Red target threshold]]*0.5</f>
        <v>0</v>
      </c>
      <c r="T314" s="291"/>
      <c r="U314" s="297"/>
    </row>
    <row r="315" spans="1:21" hidden="1" x14ac:dyDescent="0.25">
      <c r="A315" s="302" t="s">
        <v>527</v>
      </c>
      <c r="B315" s="337" t="s">
        <v>1122</v>
      </c>
      <c r="C315" s="337" t="s">
        <v>582</v>
      </c>
      <c r="D315" s="336" t="s">
        <v>904</v>
      </c>
      <c r="E315" s="304">
        <v>10.2580066199183</v>
      </c>
      <c r="F315" s="304">
        <v>10.780813151679199</v>
      </c>
      <c r="G315" s="304">
        <v>11.317270582730499</v>
      </c>
      <c r="H315" s="305">
        <v>2018</v>
      </c>
      <c r="I315" s="305">
        <v>11.317270582730499</v>
      </c>
      <c r="J315" s="305">
        <v>2015</v>
      </c>
      <c r="K315" s="295">
        <v>8.3279399999999999</v>
      </c>
      <c r="L315" s="295">
        <f>Table1[[#This Row],[Green target threshold]]+Table1[[#This Row],[Green target threshold]]*0.5</f>
        <v>34.47</v>
      </c>
      <c r="M315" s="305">
        <v>22.98</v>
      </c>
      <c r="N315" s="305"/>
      <c r="O315" s="305" t="s">
        <v>982</v>
      </c>
      <c r="P315" s="305">
        <f>(M315-K315)*0.5+K315</f>
        <v>15.653970000000001</v>
      </c>
      <c r="Q315" s="305">
        <f>K315</f>
        <v>8.3279399999999999</v>
      </c>
      <c r="R315" s="305">
        <f>K315</f>
        <v>8.3279399999999999</v>
      </c>
      <c r="S315" s="305">
        <f>Table1[[#This Row],[Red target threshold]]-Table1[[#This Row],[Red target threshold]]*0.5</f>
        <v>4.1639699999999999</v>
      </c>
      <c r="T315" s="305" t="s">
        <v>1135</v>
      </c>
      <c r="U315" s="303" t="s">
        <v>698</v>
      </c>
    </row>
    <row r="316" spans="1:21" hidden="1" x14ac:dyDescent="0.25">
      <c r="A316" s="271"/>
      <c r="B316" s="173"/>
      <c r="C316" s="173"/>
      <c r="D316" s="173" t="s">
        <v>699</v>
      </c>
      <c r="E316" s="253">
        <v>104.278390971905</v>
      </c>
      <c r="F316" s="254">
        <v>107.361306947271</v>
      </c>
      <c r="G316" s="255">
        <v>116.59729563795399</v>
      </c>
      <c r="H316" s="305">
        <v>2018</v>
      </c>
      <c r="I316" s="248">
        <v>116.59729563795399</v>
      </c>
      <c r="J316" s="248"/>
      <c r="K316" s="248"/>
      <c r="L316" s="248">
        <f>Table1[[#This Row],[Green target threshold]]+Table1[[#This Row],[Green target threshold]]*0.5</f>
        <v>0</v>
      </c>
      <c r="M316" s="248"/>
      <c r="N316" s="248"/>
      <c r="O316" s="248"/>
      <c r="P316" s="248"/>
      <c r="Q316" s="248"/>
      <c r="R316" s="248"/>
      <c r="S316" s="248">
        <f>Table1[[#This Row],[Red target threshold]]-Table1[[#This Row],[Red target threshold]]*0.5</f>
        <v>0</v>
      </c>
      <c r="T316" s="248"/>
      <c r="U316" s="278"/>
    </row>
    <row r="317" spans="1:21" hidden="1" x14ac:dyDescent="0.25">
      <c r="A317" s="271"/>
      <c r="B317" s="173"/>
      <c r="C317" s="173"/>
      <c r="D317" s="173" t="s">
        <v>700</v>
      </c>
      <c r="E317" s="253">
        <v>80.172193303926605</v>
      </c>
      <c r="F317" s="254">
        <v>80.450045819741291</v>
      </c>
      <c r="G317" s="255">
        <v>82.828797372173</v>
      </c>
      <c r="H317" s="305">
        <v>2018</v>
      </c>
      <c r="I317" s="248">
        <v>82.828797372173</v>
      </c>
      <c r="J317" s="248"/>
      <c r="K317" s="248"/>
      <c r="L317" s="248">
        <f>Table1[[#This Row],[Green target threshold]]+Table1[[#This Row],[Green target threshold]]*0.5</f>
        <v>0</v>
      </c>
      <c r="M317" s="248"/>
      <c r="N317" s="248"/>
      <c r="O317" s="248"/>
      <c r="P317" s="248"/>
      <c r="Q317" s="248"/>
      <c r="R317" s="248"/>
      <c r="S317" s="248">
        <f>Table1[[#This Row],[Red target threshold]]-Table1[[#This Row],[Red target threshold]]*0.5</f>
        <v>0</v>
      </c>
      <c r="T317" s="248"/>
      <c r="U317" s="278"/>
    </row>
    <row r="318" spans="1:21" hidden="1" x14ac:dyDescent="0.25">
      <c r="A318" s="271"/>
      <c r="B318" s="173"/>
      <c r="C318" s="173"/>
      <c r="D318" s="173" t="s">
        <v>701</v>
      </c>
      <c r="E318" s="253">
        <v>57.1630609918357</v>
      </c>
      <c r="F318" s="254">
        <v>61.264396477797895</v>
      </c>
      <c r="G318" s="255">
        <v>68.793784437261408</v>
      </c>
      <c r="H318" s="305">
        <v>2018</v>
      </c>
      <c r="I318" s="248">
        <v>68.793784437261408</v>
      </c>
      <c r="J318" s="248"/>
      <c r="K318" s="248"/>
      <c r="L318" s="248">
        <f>Table1[[#This Row],[Green target threshold]]+Table1[[#This Row],[Green target threshold]]*0.5</f>
        <v>0</v>
      </c>
      <c r="M318" s="248"/>
      <c r="N318" s="248"/>
      <c r="O318" s="248"/>
      <c r="P318" s="248"/>
      <c r="Q318" s="248"/>
      <c r="R318" s="248"/>
      <c r="S318" s="248">
        <f>Table1[[#This Row],[Red target threshold]]-Table1[[#This Row],[Red target threshold]]*0.5</f>
        <v>0</v>
      </c>
      <c r="T318" s="248"/>
      <c r="U318" s="278"/>
    </row>
    <row r="319" spans="1:21" hidden="1" x14ac:dyDescent="0.25">
      <c r="A319" s="271"/>
      <c r="B319" s="173"/>
      <c r="C319" s="173"/>
      <c r="D319" s="173" t="s">
        <v>702</v>
      </c>
      <c r="E319" s="253">
        <v>56.724170385886296</v>
      </c>
      <c r="F319" s="254">
        <v>60.2977937806208</v>
      </c>
      <c r="G319" s="255">
        <v>64.581944018395404</v>
      </c>
      <c r="H319" s="305">
        <v>2018</v>
      </c>
      <c r="I319" s="248">
        <v>64.581944018395404</v>
      </c>
      <c r="J319" s="248"/>
      <c r="K319" s="248"/>
      <c r="L319" s="248">
        <f>Table1[[#This Row],[Green target threshold]]+Table1[[#This Row],[Green target threshold]]*0.5</f>
        <v>0</v>
      </c>
      <c r="M319" s="248"/>
      <c r="N319" s="248"/>
      <c r="O319" s="248"/>
      <c r="P319" s="248"/>
      <c r="Q319" s="248"/>
      <c r="R319" s="248"/>
      <c r="S319" s="248">
        <f>Table1[[#This Row],[Red target threshold]]-Table1[[#This Row],[Red target threshold]]*0.5</f>
        <v>0</v>
      </c>
      <c r="T319" s="248"/>
      <c r="U319" s="278"/>
    </row>
    <row r="320" spans="1:21" hidden="1" x14ac:dyDescent="0.25">
      <c r="A320" s="271"/>
      <c r="B320" s="173"/>
      <c r="C320" s="173"/>
      <c r="D320" s="173" t="s">
        <v>703</v>
      </c>
      <c r="E320" s="253">
        <v>57.927516851506205</v>
      </c>
      <c r="F320" s="254">
        <v>59.957725851303202</v>
      </c>
      <c r="G320" s="255">
        <v>62.8868364845599</v>
      </c>
      <c r="H320" s="305">
        <v>2018</v>
      </c>
      <c r="I320" s="248">
        <v>62.8868364845599</v>
      </c>
      <c r="J320" s="248"/>
      <c r="K320" s="248"/>
      <c r="L320" s="248">
        <f>Table1[[#This Row],[Green target threshold]]+Table1[[#This Row],[Green target threshold]]*0.5</f>
        <v>0</v>
      </c>
      <c r="M320" s="248"/>
      <c r="N320" s="248"/>
      <c r="O320" s="248"/>
      <c r="P320" s="248"/>
      <c r="Q320" s="248"/>
      <c r="R320" s="248"/>
      <c r="S320" s="248">
        <f>Table1[[#This Row],[Red target threshold]]-Table1[[#This Row],[Red target threshold]]*0.5</f>
        <v>0</v>
      </c>
      <c r="T320" s="248"/>
      <c r="U320" s="278"/>
    </row>
    <row r="321" spans="1:22" hidden="1" x14ac:dyDescent="0.25">
      <c r="A321" s="271"/>
      <c r="B321" s="173"/>
      <c r="C321" s="173"/>
      <c r="D321" s="173" t="s">
        <v>683</v>
      </c>
      <c r="E321" s="256">
        <v>0.29596785164512701</v>
      </c>
      <c r="F321" s="257">
        <v>0.30905535477005602</v>
      </c>
      <c r="G321" s="258">
        <v>0.31454416567076299</v>
      </c>
      <c r="H321" s="305">
        <v>2018</v>
      </c>
      <c r="I321" s="248">
        <v>0.31454416567076299</v>
      </c>
      <c r="J321" s="248"/>
      <c r="K321" s="248"/>
      <c r="L321" s="248">
        <f>Table1[[#This Row],[Green target threshold]]+Table1[[#This Row],[Green target threshold]]*0.5</f>
        <v>0</v>
      </c>
      <c r="M321" s="248"/>
      <c r="N321" s="248"/>
      <c r="O321" s="248"/>
      <c r="P321" s="248"/>
      <c r="Q321" s="248"/>
      <c r="R321" s="248"/>
      <c r="S321" s="248">
        <f>Table1[[#This Row],[Red target threshold]]-Table1[[#This Row],[Red target threshold]]*0.5</f>
        <v>0</v>
      </c>
      <c r="T321" s="248"/>
      <c r="U321" s="278"/>
    </row>
    <row r="322" spans="1:22" hidden="1" x14ac:dyDescent="0.25">
      <c r="A322" s="271"/>
      <c r="B322" s="173"/>
      <c r="C322" s="173"/>
      <c r="D322" s="173" t="s">
        <v>676</v>
      </c>
      <c r="E322" s="256">
        <v>0.36213113227433397</v>
      </c>
      <c r="F322" s="257">
        <v>0.37586948967352202</v>
      </c>
      <c r="G322" s="258">
        <v>0.41398030496208899</v>
      </c>
      <c r="H322" s="305">
        <v>2018</v>
      </c>
      <c r="I322" s="248">
        <v>0.41398030496208899</v>
      </c>
      <c r="J322" s="248"/>
      <c r="K322" s="248"/>
      <c r="L322" s="248">
        <f>Table1[[#This Row],[Green target threshold]]+Table1[[#This Row],[Green target threshold]]*0.5</f>
        <v>0</v>
      </c>
      <c r="M322" s="248"/>
      <c r="N322" s="248"/>
      <c r="O322" s="248"/>
      <c r="P322" s="248"/>
      <c r="Q322" s="248"/>
      <c r="R322" s="248"/>
      <c r="S322" s="248">
        <f>Table1[[#This Row],[Red target threshold]]-Table1[[#This Row],[Red target threshold]]*0.5</f>
        <v>0</v>
      </c>
      <c r="T322" s="248"/>
      <c r="U322" s="278"/>
    </row>
    <row r="323" spans="1:22" hidden="1" x14ac:dyDescent="0.25">
      <c r="A323" s="271"/>
      <c r="B323" s="173"/>
      <c r="C323" s="173"/>
      <c r="D323" s="173" t="s">
        <v>704</v>
      </c>
      <c r="E323" s="256">
        <v>0.54722811015036299</v>
      </c>
      <c r="F323" s="257">
        <v>0.55630213850850807</v>
      </c>
      <c r="G323" s="258">
        <v>0.52089660271913496</v>
      </c>
      <c r="H323" s="305">
        <v>2018</v>
      </c>
      <c r="I323" s="248">
        <v>0.52089660271913496</v>
      </c>
      <c r="J323" s="248"/>
      <c r="K323" s="248"/>
      <c r="L323" s="248">
        <f>Table1[[#This Row],[Green target threshold]]+Table1[[#This Row],[Green target threshold]]*0.5</f>
        <v>0</v>
      </c>
      <c r="M323" s="248"/>
      <c r="N323" s="248"/>
      <c r="O323" s="248"/>
      <c r="P323" s="248"/>
      <c r="Q323" s="248"/>
      <c r="R323" s="248"/>
      <c r="S323" s="248">
        <f>Table1[[#This Row],[Red target threshold]]-Table1[[#This Row],[Red target threshold]]*0.5</f>
        <v>0</v>
      </c>
      <c r="T323" s="248"/>
      <c r="U323" s="278"/>
    </row>
    <row r="324" spans="1:22" hidden="1" x14ac:dyDescent="0.25">
      <c r="A324" s="271"/>
      <c r="B324" s="173"/>
      <c r="C324" s="173"/>
      <c r="D324" s="173" t="s">
        <v>705</v>
      </c>
      <c r="E324" s="256">
        <v>0.50141571285783193</v>
      </c>
      <c r="F324" s="257">
        <v>0.49938070781976002</v>
      </c>
      <c r="G324" s="258">
        <v>0.53399118425893599</v>
      </c>
      <c r="H324" s="305">
        <v>2018</v>
      </c>
      <c r="I324" s="248">
        <v>0.53399118425893599</v>
      </c>
      <c r="J324" s="248"/>
      <c r="K324" s="248"/>
      <c r="L324" s="248">
        <f>Table1[[#This Row],[Green target threshold]]+Table1[[#This Row],[Green target threshold]]*0.5</f>
        <v>0</v>
      </c>
      <c r="M324" s="248"/>
      <c r="N324" s="248"/>
      <c r="O324" s="248"/>
      <c r="P324" s="248"/>
      <c r="Q324" s="248"/>
      <c r="R324" s="248"/>
      <c r="S324" s="248">
        <f>Table1[[#This Row],[Red target threshold]]-Table1[[#This Row],[Red target threshold]]*0.5</f>
        <v>0</v>
      </c>
      <c r="T324" s="248"/>
      <c r="U324" s="278"/>
    </row>
    <row r="325" spans="1:22" hidden="1" x14ac:dyDescent="0.25">
      <c r="A325" s="271"/>
      <c r="B325" s="173"/>
      <c r="C325" s="173"/>
      <c r="D325" s="173" t="s">
        <v>706</v>
      </c>
      <c r="E325" s="256">
        <v>0.47131884040957195</v>
      </c>
      <c r="F325" s="257">
        <v>0.46707423746489002</v>
      </c>
      <c r="G325" s="258">
        <v>0.56177718239042496</v>
      </c>
      <c r="H325" s="305">
        <v>2018</v>
      </c>
      <c r="I325" s="248">
        <v>0.56177718239042496</v>
      </c>
      <c r="J325" s="248"/>
      <c r="K325" s="248"/>
      <c r="L325" s="248">
        <f>Table1[[#This Row],[Green target threshold]]+Table1[[#This Row],[Green target threshold]]*0.5</f>
        <v>0</v>
      </c>
      <c r="M325" s="248"/>
      <c r="N325" s="248"/>
      <c r="O325" s="248"/>
      <c r="P325" s="248"/>
      <c r="Q325" s="248"/>
      <c r="R325" s="248"/>
      <c r="S325" s="248">
        <f>Table1[[#This Row],[Red target threshold]]-Table1[[#This Row],[Red target threshold]]*0.5</f>
        <v>0</v>
      </c>
      <c r="T325" s="248"/>
      <c r="U325" s="278"/>
    </row>
    <row r="326" spans="1:22" s="262" customFormat="1" hidden="1" x14ac:dyDescent="0.25">
      <c r="A326" s="293"/>
      <c r="B326" s="290"/>
      <c r="C326" s="291"/>
      <c r="D326" s="290"/>
      <c r="E326" s="291">
        <v>2012</v>
      </c>
      <c r="F326" s="291">
        <v>2013</v>
      </c>
      <c r="G326" s="291">
        <v>2014</v>
      </c>
      <c r="H326" s="291"/>
      <c r="I326" s="291"/>
      <c r="J326" s="291"/>
      <c r="K326" s="291"/>
      <c r="L326" s="291">
        <f>Table1[[#This Row],[Green target threshold]]+Table1[[#This Row],[Green target threshold]]*0.5</f>
        <v>0</v>
      </c>
      <c r="M326" s="291"/>
      <c r="N326" s="291"/>
      <c r="O326" s="291"/>
      <c r="P326" s="291"/>
      <c r="Q326" s="291"/>
      <c r="R326" s="291"/>
      <c r="S326" s="291">
        <f>Table1[[#This Row],[Red target threshold]]-Table1[[#This Row],[Red target threshold]]*0.5</f>
        <v>0</v>
      </c>
      <c r="T326" s="291"/>
      <c r="U326" s="297"/>
    </row>
    <row r="327" spans="1:22" x14ac:dyDescent="0.25">
      <c r="A327" s="302" t="s">
        <v>760</v>
      </c>
      <c r="B327" s="337" t="s">
        <v>758</v>
      </c>
      <c r="C327" s="337" t="s">
        <v>759</v>
      </c>
      <c r="D327" s="336" t="s">
        <v>904</v>
      </c>
      <c r="E327" s="304">
        <v>0.507411642337258</v>
      </c>
      <c r="F327" s="304">
        <v>0.49935966335005399</v>
      </c>
      <c r="G327" s="304">
        <v>0.48960813019935201</v>
      </c>
      <c r="H327" s="305">
        <v>2014</v>
      </c>
      <c r="I327" s="305">
        <v>0.48960813019935201</v>
      </c>
      <c r="J327" s="305">
        <v>2015</v>
      </c>
      <c r="K327" s="295">
        <v>0.53940900000000003</v>
      </c>
      <c r="L327" s="295">
        <f>Table1[[#This Row],[Green target threshold]]-Table1[[#This Row],[Green target threshold]]*0.5</f>
        <v>0.18879315000000002</v>
      </c>
      <c r="M327" s="305">
        <f>Table1[[#This Row],[Model reference value]]+Table1[[#This Row],[Model reference value]]*Table1[[#This Row],[Improvement rate]]</f>
        <v>0.37758630000000004</v>
      </c>
      <c r="N327" s="305">
        <v>-0.3</v>
      </c>
      <c r="O327" s="305" t="s">
        <v>1140</v>
      </c>
      <c r="P327" s="305">
        <f>(M327-K327)*0.5+K327</f>
        <v>0.45849765000000003</v>
      </c>
      <c r="Q327" s="305">
        <f>K327</f>
        <v>0.53940900000000003</v>
      </c>
      <c r="R327" s="305">
        <f>K327</f>
        <v>0.53940900000000003</v>
      </c>
      <c r="S327" s="305">
        <f>Table1[[#This Row],[Red target threshold]]+Table1[[#This Row],[Red target threshold]]*0.5</f>
        <v>0.80911350000000004</v>
      </c>
      <c r="T327" s="305" t="s">
        <v>1040</v>
      </c>
      <c r="U327" s="303" t="s">
        <v>762</v>
      </c>
      <c r="V327" s="176" t="s">
        <v>1094</v>
      </c>
    </row>
    <row r="328" spans="1:22" hidden="1" x14ac:dyDescent="0.25">
      <c r="A328" s="271"/>
      <c r="B328" s="173"/>
      <c r="C328" s="173"/>
      <c r="D328" s="173"/>
      <c r="E328" s="253"/>
      <c r="F328" s="254"/>
      <c r="G328" s="255"/>
      <c r="H328" s="305"/>
      <c r="I328" s="248"/>
      <c r="J328" s="248"/>
      <c r="K328" s="248"/>
      <c r="L328" s="248">
        <f>Table1[[#This Row],[Green target threshold]]+Table1[[#This Row],[Green target threshold]]*0.5</f>
        <v>0</v>
      </c>
      <c r="M328" s="248"/>
      <c r="N328" s="248"/>
      <c r="O328" s="248"/>
      <c r="P328" s="248"/>
      <c r="Q328" s="248"/>
      <c r="R328" s="248"/>
      <c r="S328" s="248">
        <f>Table1[[#This Row],[Red target threshold]]-Table1[[#This Row],[Red target threshold]]*0.5</f>
        <v>0</v>
      </c>
      <c r="T328" s="248"/>
      <c r="U328" s="278"/>
    </row>
    <row r="329" spans="1:22" hidden="1" x14ac:dyDescent="0.25">
      <c r="A329" s="271"/>
      <c r="B329" s="173"/>
      <c r="C329" s="173"/>
      <c r="D329" s="173"/>
      <c r="E329" s="253"/>
      <c r="F329" s="254"/>
      <c r="G329" s="255"/>
      <c r="H329" s="305"/>
      <c r="I329" s="248"/>
      <c r="J329" s="248"/>
      <c r="K329" s="248"/>
      <c r="L329" s="248">
        <f>Table1[[#This Row],[Green target threshold]]+Table1[[#This Row],[Green target threshold]]*0.5</f>
        <v>0</v>
      </c>
      <c r="M329" s="248"/>
      <c r="N329" s="248"/>
      <c r="O329" s="248"/>
      <c r="P329" s="248"/>
      <c r="Q329" s="248"/>
      <c r="R329" s="248"/>
      <c r="S329" s="248">
        <f>Table1[[#This Row],[Red target threshold]]-Table1[[#This Row],[Red target threshold]]*0.5</f>
        <v>0</v>
      </c>
      <c r="T329" s="248"/>
      <c r="U329" s="278"/>
    </row>
    <row r="330" spans="1:22" hidden="1" x14ac:dyDescent="0.25">
      <c r="A330" s="271"/>
      <c r="B330" s="173"/>
      <c r="C330" s="173"/>
      <c r="D330" s="173"/>
      <c r="E330" s="253"/>
      <c r="F330" s="254"/>
      <c r="G330" s="255"/>
      <c r="H330" s="305"/>
      <c r="I330" s="248"/>
      <c r="J330" s="248"/>
      <c r="K330" s="248"/>
      <c r="L330" s="248">
        <f>Table1[[#This Row],[Green target threshold]]+Table1[[#This Row],[Green target threshold]]*0.5</f>
        <v>0</v>
      </c>
      <c r="M330" s="248"/>
      <c r="N330" s="248"/>
      <c r="O330" s="248"/>
      <c r="P330" s="248"/>
      <c r="Q330" s="248"/>
      <c r="R330" s="248"/>
      <c r="S330" s="248">
        <f>Table1[[#This Row],[Red target threshold]]-Table1[[#This Row],[Red target threshold]]*0.5</f>
        <v>0</v>
      </c>
      <c r="T330" s="248"/>
      <c r="U330" s="278"/>
    </row>
    <row r="331" spans="1:22" hidden="1" x14ac:dyDescent="0.25">
      <c r="A331" s="271"/>
      <c r="B331" s="173"/>
      <c r="C331" s="173"/>
      <c r="D331" s="173"/>
      <c r="E331" s="253"/>
      <c r="F331" s="254"/>
      <c r="G331" s="255"/>
      <c r="H331" s="305"/>
      <c r="I331" s="248"/>
      <c r="J331" s="248"/>
      <c r="K331" s="248"/>
      <c r="L331" s="248">
        <f>Table1[[#This Row],[Green target threshold]]+Table1[[#This Row],[Green target threshold]]*0.5</f>
        <v>0</v>
      </c>
      <c r="M331" s="248"/>
      <c r="N331" s="248"/>
      <c r="O331" s="248"/>
      <c r="P331" s="248"/>
      <c r="Q331" s="248"/>
      <c r="R331" s="248"/>
      <c r="S331" s="248">
        <f>Table1[[#This Row],[Red target threshold]]-Table1[[#This Row],[Red target threshold]]*0.5</f>
        <v>0</v>
      </c>
      <c r="T331" s="248"/>
      <c r="U331" s="278"/>
    </row>
    <row r="332" spans="1:22" hidden="1" x14ac:dyDescent="0.25">
      <c r="A332" s="271"/>
      <c r="B332" s="173"/>
      <c r="C332" s="173"/>
      <c r="D332" s="173"/>
      <c r="E332" s="253"/>
      <c r="F332" s="254"/>
      <c r="G332" s="255"/>
      <c r="H332" s="305"/>
      <c r="I332" s="248"/>
      <c r="J332" s="248"/>
      <c r="K332" s="248"/>
      <c r="L332" s="248">
        <f>Table1[[#This Row],[Green target threshold]]+Table1[[#This Row],[Green target threshold]]*0.5</f>
        <v>0</v>
      </c>
      <c r="M332" s="248"/>
      <c r="N332" s="248"/>
      <c r="O332" s="248"/>
      <c r="P332" s="248"/>
      <c r="Q332" s="248"/>
      <c r="R332" s="248"/>
      <c r="S332" s="248">
        <f>Table1[[#This Row],[Red target threshold]]-Table1[[#This Row],[Red target threshold]]*0.5</f>
        <v>0</v>
      </c>
      <c r="T332" s="248"/>
      <c r="U332" s="278"/>
    </row>
    <row r="333" spans="1:22" hidden="1" x14ac:dyDescent="0.25">
      <c r="A333" s="271"/>
      <c r="B333" s="173"/>
      <c r="C333" s="173"/>
      <c r="D333" s="173"/>
      <c r="E333" s="256"/>
      <c r="F333" s="257"/>
      <c r="G333" s="258"/>
      <c r="H333" s="305"/>
      <c r="I333" s="248"/>
      <c r="J333" s="248"/>
      <c r="K333" s="248"/>
      <c r="L333" s="248">
        <f>Table1[[#This Row],[Green target threshold]]+Table1[[#This Row],[Green target threshold]]*0.5</f>
        <v>0</v>
      </c>
      <c r="M333" s="248"/>
      <c r="N333" s="248"/>
      <c r="O333" s="248"/>
      <c r="P333" s="248"/>
      <c r="Q333" s="248"/>
      <c r="R333" s="248"/>
      <c r="S333" s="248">
        <f>Table1[[#This Row],[Red target threshold]]-Table1[[#This Row],[Red target threshold]]*0.5</f>
        <v>0</v>
      </c>
      <c r="T333" s="248"/>
      <c r="U333" s="278"/>
    </row>
    <row r="334" spans="1:22" hidden="1" x14ac:dyDescent="0.25">
      <c r="A334" s="271"/>
      <c r="B334" s="173"/>
      <c r="C334" s="173"/>
      <c r="D334" s="173"/>
      <c r="E334" s="256"/>
      <c r="F334" s="257"/>
      <c r="G334" s="258"/>
      <c r="H334" s="305"/>
      <c r="I334" s="248"/>
      <c r="J334" s="248"/>
      <c r="K334" s="248"/>
      <c r="L334" s="248">
        <f>Table1[[#This Row],[Green target threshold]]+Table1[[#This Row],[Green target threshold]]*0.5</f>
        <v>0</v>
      </c>
      <c r="M334" s="248"/>
      <c r="N334" s="248"/>
      <c r="O334" s="248"/>
      <c r="P334" s="248"/>
      <c r="Q334" s="248"/>
      <c r="R334" s="248"/>
      <c r="S334" s="248">
        <f>Table1[[#This Row],[Red target threshold]]-Table1[[#This Row],[Red target threshold]]*0.5</f>
        <v>0</v>
      </c>
      <c r="T334" s="248"/>
      <c r="U334" s="278"/>
    </row>
    <row r="335" spans="1:22" hidden="1" x14ac:dyDescent="0.25">
      <c r="A335" s="271"/>
      <c r="B335" s="173"/>
      <c r="C335" s="173"/>
      <c r="D335" s="173"/>
      <c r="E335" s="256"/>
      <c r="F335" s="257"/>
      <c r="G335" s="258"/>
      <c r="H335" s="305"/>
      <c r="I335" s="248"/>
      <c r="J335" s="248"/>
      <c r="K335" s="248"/>
      <c r="L335" s="248">
        <f>Table1[[#This Row],[Green target threshold]]+Table1[[#This Row],[Green target threshold]]*0.5</f>
        <v>0</v>
      </c>
      <c r="M335" s="248"/>
      <c r="N335" s="248"/>
      <c r="O335" s="248"/>
      <c r="P335" s="248"/>
      <c r="Q335" s="248"/>
      <c r="R335" s="248"/>
      <c r="S335" s="248">
        <f>Table1[[#This Row],[Red target threshold]]-Table1[[#This Row],[Red target threshold]]*0.5</f>
        <v>0</v>
      </c>
      <c r="T335" s="248"/>
      <c r="U335" s="278"/>
    </row>
    <row r="336" spans="1:22" hidden="1" x14ac:dyDescent="0.25">
      <c r="A336" s="271"/>
      <c r="B336" s="173"/>
      <c r="C336" s="173"/>
      <c r="D336" s="173"/>
      <c r="E336" s="256"/>
      <c r="F336" s="257"/>
      <c r="G336" s="258"/>
      <c r="H336" s="305"/>
      <c r="I336" s="248"/>
      <c r="J336" s="248"/>
      <c r="K336" s="248"/>
      <c r="L336" s="248">
        <f>Table1[[#This Row],[Green target threshold]]+Table1[[#This Row],[Green target threshold]]*0.5</f>
        <v>0</v>
      </c>
      <c r="M336" s="248"/>
      <c r="N336" s="248"/>
      <c r="O336" s="248"/>
      <c r="P336" s="248"/>
      <c r="Q336" s="248"/>
      <c r="R336" s="248"/>
      <c r="S336" s="248">
        <f>Table1[[#This Row],[Red target threshold]]-Table1[[#This Row],[Red target threshold]]*0.5</f>
        <v>0</v>
      </c>
      <c r="T336" s="248"/>
      <c r="U336" s="278"/>
    </row>
    <row r="337" spans="1:21" hidden="1" x14ac:dyDescent="0.25">
      <c r="A337" s="271"/>
      <c r="B337" s="173"/>
      <c r="C337" s="173"/>
      <c r="D337" s="173"/>
      <c r="E337" s="256"/>
      <c r="F337" s="257"/>
      <c r="G337" s="258"/>
      <c r="H337" s="305"/>
      <c r="I337" s="248"/>
      <c r="J337" s="248"/>
      <c r="K337" s="248"/>
      <c r="L337" s="248">
        <f>Table1[[#This Row],[Green target threshold]]+Table1[[#This Row],[Green target threshold]]*0.5</f>
        <v>0</v>
      </c>
      <c r="M337" s="248"/>
      <c r="N337" s="248"/>
      <c r="O337" s="248"/>
      <c r="P337" s="248"/>
      <c r="Q337" s="248"/>
      <c r="R337" s="248"/>
      <c r="S337" s="248">
        <f>Table1[[#This Row],[Red target threshold]]-Table1[[#This Row],[Red target threshold]]*0.5</f>
        <v>0</v>
      </c>
      <c r="T337" s="248"/>
      <c r="U337" s="278"/>
    </row>
    <row r="338" spans="1:21" s="262" customFormat="1" hidden="1" x14ac:dyDescent="0.25">
      <c r="A338" s="293"/>
      <c r="B338" s="290"/>
      <c r="C338" s="290"/>
      <c r="D338" s="290"/>
      <c r="E338" s="292">
        <v>2015</v>
      </c>
      <c r="F338" s="292">
        <v>2016</v>
      </c>
      <c r="G338" s="292">
        <v>2017</v>
      </c>
      <c r="H338" s="292"/>
      <c r="I338" s="292"/>
      <c r="J338" s="292"/>
      <c r="K338" s="292"/>
      <c r="L338" s="292">
        <f>Table1[[#This Row],[Green target threshold]]+Table1[[#This Row],[Green target threshold]]*0.5</f>
        <v>0</v>
      </c>
      <c r="M338" s="291"/>
      <c r="N338" s="291"/>
      <c r="O338" s="291"/>
      <c r="P338" s="291"/>
      <c r="Q338" s="291"/>
      <c r="R338" s="291"/>
      <c r="S338" s="291">
        <f>Table1[[#This Row],[Red target threshold]]-Table1[[#This Row],[Red target threshold]]*0.5</f>
        <v>0</v>
      </c>
      <c r="T338" s="291"/>
      <c r="U338" s="297"/>
    </row>
    <row r="339" spans="1:21" x14ac:dyDescent="0.25">
      <c r="A339" s="302" t="s">
        <v>596</v>
      </c>
      <c r="B339" s="337" t="s">
        <v>821</v>
      </c>
      <c r="C339" s="337" t="s">
        <v>667</v>
      </c>
      <c r="D339" s="336" t="s">
        <v>799</v>
      </c>
      <c r="E339" s="304">
        <v>66.270574999999994</v>
      </c>
      <c r="F339" s="304">
        <v>58.728148148148144</v>
      </c>
      <c r="G339" s="304">
        <v>60.290185185185187</v>
      </c>
      <c r="H339" s="305">
        <v>2017</v>
      </c>
      <c r="I339" s="305">
        <v>60.290185185185187</v>
      </c>
      <c r="J339" s="305">
        <v>2015</v>
      </c>
      <c r="K339" s="295">
        <v>24.5441</v>
      </c>
      <c r="L339" s="295">
        <f>Table1[[#This Row],[Green target threshold]]-Table1[[#This Row],[Green target threshold]]*0.5</f>
        <v>8.5904349999999994</v>
      </c>
      <c r="M339" s="312">
        <f>Table1[[#This Row],[Model reference value]]+Table1[[#This Row],[Model reference value]]*Table1[[#This Row],[Improvement rate]]</f>
        <v>17.180869999999999</v>
      </c>
      <c r="N339" s="312">
        <v>-0.3</v>
      </c>
      <c r="O339" s="305" t="s">
        <v>1140</v>
      </c>
      <c r="P339" s="305">
        <f>(M339-K339)*0.5+K339</f>
        <v>20.862485</v>
      </c>
      <c r="Q339" s="305">
        <f>K339</f>
        <v>24.5441</v>
      </c>
      <c r="R339" s="305">
        <f>K339</f>
        <v>24.5441</v>
      </c>
      <c r="S339" s="305">
        <f>Table1[[#This Row],[Red target threshold]]+Table1[[#This Row],[Red target threshold]]*0.5</f>
        <v>36.81615</v>
      </c>
      <c r="T339" s="305" t="s">
        <v>1041</v>
      </c>
      <c r="U339" s="303" t="s">
        <v>822</v>
      </c>
    </row>
    <row r="340" spans="1:21" hidden="1" x14ac:dyDescent="0.25">
      <c r="A340" s="271"/>
      <c r="B340" s="173"/>
      <c r="C340" s="173"/>
      <c r="D340" s="252" t="s">
        <v>771</v>
      </c>
      <c r="E340" s="253">
        <v>192.881</v>
      </c>
      <c r="F340" s="254">
        <v>206.16399999999999</v>
      </c>
      <c r="G340" s="255">
        <v>212.167</v>
      </c>
      <c r="H340" s="305">
        <v>2017</v>
      </c>
      <c r="I340" s="248">
        <v>212.167</v>
      </c>
      <c r="J340" s="248"/>
      <c r="K340" s="248"/>
      <c r="L340" s="248">
        <f>Table1[[#This Row],[Green target threshold]]+Table1[[#This Row],[Green target threshold]]*0.5</f>
        <v>0</v>
      </c>
      <c r="M340" s="248"/>
      <c r="N340" s="248"/>
      <c r="O340" s="248"/>
      <c r="P340" s="248"/>
      <c r="Q340" s="248"/>
      <c r="R340" s="248"/>
      <c r="S340" s="248">
        <f>Table1[[#This Row],[Red target threshold]]-Table1[[#This Row],[Red target threshold]]*0.5</f>
        <v>0</v>
      </c>
      <c r="T340" s="248"/>
      <c r="U340" s="278"/>
    </row>
    <row r="341" spans="1:21" hidden="1" x14ac:dyDescent="0.25">
      <c r="A341" s="271"/>
      <c r="B341" s="173"/>
      <c r="C341" s="173"/>
      <c r="D341" s="252" t="s">
        <v>680</v>
      </c>
      <c r="E341" s="253">
        <v>189</v>
      </c>
      <c r="F341" s="254">
        <v>194</v>
      </c>
      <c r="G341" s="255">
        <v>187</v>
      </c>
      <c r="H341" s="305">
        <v>2017</v>
      </c>
      <c r="I341" s="248">
        <v>187</v>
      </c>
      <c r="J341" s="248"/>
      <c r="K341" s="248"/>
      <c r="L341" s="248">
        <f>Table1[[#This Row],[Green target threshold]]+Table1[[#This Row],[Green target threshold]]*0.5</f>
        <v>0</v>
      </c>
      <c r="M341" s="248"/>
      <c r="N341" s="248"/>
      <c r="O341" s="248"/>
      <c r="P341" s="248"/>
      <c r="Q341" s="248"/>
      <c r="R341" s="248"/>
      <c r="S341" s="248">
        <f>Table1[[#This Row],[Red target threshold]]-Table1[[#This Row],[Red target threshold]]*0.5</f>
        <v>0</v>
      </c>
      <c r="T341" s="248"/>
      <c r="U341" s="278"/>
    </row>
    <row r="342" spans="1:21" hidden="1" x14ac:dyDescent="0.25">
      <c r="A342" s="271"/>
      <c r="B342" s="173"/>
      <c r="C342" s="173"/>
      <c r="D342" s="252" t="s">
        <v>715</v>
      </c>
      <c r="E342" s="253">
        <v>172.27</v>
      </c>
      <c r="F342" s="254">
        <v>179.29</v>
      </c>
      <c r="G342" s="255">
        <v>179.31800000000001</v>
      </c>
      <c r="H342" s="305">
        <v>2017</v>
      </c>
      <c r="I342" s="248">
        <v>179.31800000000001</v>
      </c>
      <c r="J342" s="248"/>
      <c r="K342" s="248"/>
      <c r="L342" s="248">
        <f>Table1[[#This Row],[Green target threshold]]+Table1[[#This Row],[Green target threshold]]*0.5</f>
        <v>0</v>
      </c>
      <c r="M342" s="248"/>
      <c r="N342" s="248"/>
      <c r="O342" s="248"/>
      <c r="P342" s="248"/>
      <c r="Q342" s="248"/>
      <c r="R342" s="248"/>
      <c r="S342" s="248">
        <f>Table1[[#This Row],[Red target threshold]]-Table1[[#This Row],[Red target threshold]]*0.5</f>
        <v>0</v>
      </c>
      <c r="T342" s="248"/>
      <c r="U342" s="278"/>
    </row>
    <row r="343" spans="1:21" hidden="1" x14ac:dyDescent="0.25">
      <c r="A343" s="271"/>
      <c r="B343" s="173"/>
      <c r="C343" s="173"/>
      <c r="D343" s="252" t="s">
        <v>824</v>
      </c>
      <c r="E343" s="253">
        <v>98</v>
      </c>
      <c r="F343" s="254">
        <v>91</v>
      </c>
      <c r="G343" s="255">
        <v>101</v>
      </c>
      <c r="H343" s="305">
        <v>2017</v>
      </c>
      <c r="I343" s="248">
        <v>101</v>
      </c>
      <c r="J343" s="248"/>
      <c r="K343" s="248"/>
      <c r="L343" s="248">
        <f>Table1[[#This Row],[Green target threshold]]+Table1[[#This Row],[Green target threshold]]*0.5</f>
        <v>0</v>
      </c>
      <c r="M343" s="248"/>
      <c r="N343" s="248"/>
      <c r="O343" s="248"/>
      <c r="P343" s="248"/>
      <c r="Q343" s="248"/>
      <c r="R343" s="248"/>
      <c r="S343" s="248">
        <f>Table1[[#This Row],[Red target threshold]]-Table1[[#This Row],[Red target threshold]]*0.5</f>
        <v>0</v>
      </c>
      <c r="T343" s="248"/>
      <c r="U343" s="278"/>
    </row>
    <row r="344" spans="1:21" hidden="1" x14ac:dyDescent="0.25">
      <c r="A344" s="271"/>
      <c r="B344" s="173"/>
      <c r="C344" s="173"/>
      <c r="D344" s="252" t="s">
        <v>825</v>
      </c>
      <c r="E344" s="253">
        <v>83</v>
      </c>
      <c r="F344" s="254">
        <v>87</v>
      </c>
      <c r="G344" s="255">
        <v>86</v>
      </c>
      <c r="H344" s="305">
        <v>2017</v>
      </c>
      <c r="I344" s="248">
        <v>86</v>
      </c>
      <c r="J344" s="248"/>
      <c r="K344" s="248"/>
      <c r="L344" s="248">
        <f>Table1[[#This Row],[Green target threshold]]+Table1[[#This Row],[Green target threshold]]*0.5</f>
        <v>0</v>
      </c>
      <c r="M344" s="248"/>
      <c r="N344" s="248"/>
      <c r="O344" s="248"/>
      <c r="P344" s="248"/>
      <c r="Q344" s="248"/>
      <c r="R344" s="248"/>
      <c r="S344" s="248">
        <f>Table1[[#This Row],[Red target threshold]]-Table1[[#This Row],[Red target threshold]]*0.5</f>
        <v>0</v>
      </c>
      <c r="T344" s="248"/>
      <c r="U344" s="278"/>
    </row>
    <row r="345" spans="1:21" hidden="1" x14ac:dyDescent="0.25">
      <c r="A345" s="271"/>
      <c r="B345" s="173"/>
      <c r="C345" s="173"/>
      <c r="D345" s="252" t="s">
        <v>826</v>
      </c>
      <c r="E345" s="256">
        <v>28</v>
      </c>
      <c r="F345" s="257">
        <v>25</v>
      </c>
      <c r="G345" s="258">
        <v>22</v>
      </c>
      <c r="H345" s="305">
        <v>2017</v>
      </c>
      <c r="I345" s="248">
        <v>22</v>
      </c>
      <c r="J345" s="248"/>
      <c r="K345" s="248"/>
      <c r="L345" s="248">
        <f>Table1[[#This Row],[Green target threshold]]+Table1[[#This Row],[Green target threshold]]*0.5</f>
        <v>0</v>
      </c>
      <c r="M345" s="248"/>
      <c r="N345" s="248"/>
      <c r="O345" s="248"/>
      <c r="P345" s="248"/>
      <c r="Q345" s="248"/>
      <c r="R345" s="248"/>
      <c r="S345" s="248">
        <f>Table1[[#This Row],[Red target threshold]]-Table1[[#This Row],[Red target threshold]]*0.5</f>
        <v>0</v>
      </c>
      <c r="T345" s="248"/>
      <c r="U345" s="278"/>
    </row>
    <row r="346" spans="1:21" hidden="1" x14ac:dyDescent="0.25">
      <c r="A346" s="271"/>
      <c r="B346" s="173"/>
      <c r="C346" s="173"/>
      <c r="D346" s="252" t="s">
        <v>813</v>
      </c>
      <c r="E346" s="256">
        <v>19.811</v>
      </c>
      <c r="F346" s="257">
        <v>18.646999999999998</v>
      </c>
      <c r="G346" s="258">
        <v>19.826000000000001</v>
      </c>
      <c r="H346" s="305">
        <v>2017</v>
      </c>
      <c r="I346" s="248">
        <v>19.826000000000001</v>
      </c>
      <c r="J346" s="248"/>
      <c r="K346" s="248"/>
      <c r="L346" s="248">
        <f>Table1[[#This Row],[Green target threshold]]+Table1[[#This Row],[Green target threshold]]*0.5</f>
        <v>0</v>
      </c>
      <c r="M346" s="248"/>
      <c r="N346" s="248"/>
      <c r="O346" s="248"/>
      <c r="P346" s="248"/>
      <c r="Q346" s="248"/>
      <c r="R346" s="248"/>
      <c r="S346" s="248">
        <f>Table1[[#This Row],[Red target threshold]]-Table1[[#This Row],[Red target threshold]]*0.5</f>
        <v>0</v>
      </c>
      <c r="T346" s="248"/>
      <c r="U346" s="278"/>
    </row>
    <row r="347" spans="1:21" hidden="1" x14ac:dyDescent="0.25">
      <c r="A347" s="271"/>
      <c r="B347" s="173"/>
      <c r="C347" s="173"/>
      <c r="D347" s="252" t="s">
        <v>772</v>
      </c>
      <c r="E347" s="256">
        <v>26.582000000000001</v>
      </c>
      <c r="F347" s="257">
        <v>21.818000000000001</v>
      </c>
      <c r="G347" s="258">
        <v>19.791</v>
      </c>
      <c r="H347" s="305">
        <v>2017</v>
      </c>
      <c r="I347" s="248">
        <v>19.791</v>
      </c>
      <c r="J347" s="248"/>
      <c r="K347" s="248"/>
      <c r="L347" s="248">
        <f>Table1[[#This Row],[Green target threshold]]+Table1[[#This Row],[Green target threshold]]*0.5</f>
        <v>0</v>
      </c>
      <c r="M347" s="248"/>
      <c r="N347" s="248"/>
      <c r="O347" s="248"/>
      <c r="P347" s="248"/>
      <c r="Q347" s="248"/>
      <c r="R347" s="248"/>
      <c r="S347" s="248">
        <f>Table1[[#This Row],[Red target threshold]]-Table1[[#This Row],[Red target threshold]]*0.5</f>
        <v>0</v>
      </c>
      <c r="T347" s="248"/>
      <c r="U347" s="278"/>
    </row>
    <row r="348" spans="1:21" hidden="1" x14ac:dyDescent="0.25">
      <c r="A348" s="271"/>
      <c r="B348" s="173"/>
      <c r="C348" s="173"/>
      <c r="D348" s="252" t="s">
        <v>689</v>
      </c>
      <c r="E348" s="256">
        <v>8.423</v>
      </c>
      <c r="F348" s="257">
        <v>7.2110000000000003</v>
      </c>
      <c r="G348" s="258">
        <v>7.6669999999999998</v>
      </c>
      <c r="H348" s="305">
        <v>2017</v>
      </c>
      <c r="I348" s="248">
        <v>7.6669999999999998</v>
      </c>
      <c r="J348" s="248"/>
      <c r="K348" s="248"/>
      <c r="L348" s="248">
        <f>Table1[[#This Row],[Green target threshold]]+Table1[[#This Row],[Green target threshold]]*0.5</f>
        <v>0</v>
      </c>
      <c r="M348" s="248"/>
      <c r="N348" s="248"/>
      <c r="O348" s="248"/>
      <c r="P348" s="248"/>
      <c r="Q348" s="248"/>
      <c r="R348" s="248"/>
      <c r="S348" s="248">
        <f>Table1[[#This Row],[Red target threshold]]-Table1[[#This Row],[Red target threshold]]*0.5</f>
        <v>0</v>
      </c>
      <c r="T348" s="248"/>
      <c r="U348" s="278"/>
    </row>
    <row r="349" spans="1:21" hidden="1" x14ac:dyDescent="0.25">
      <c r="A349" s="271"/>
      <c r="B349" s="173"/>
      <c r="C349" s="173"/>
      <c r="D349" s="252" t="s">
        <v>827</v>
      </c>
      <c r="E349" s="256">
        <v>9</v>
      </c>
      <c r="F349" s="257">
        <v>-1</v>
      </c>
      <c r="G349" s="258">
        <v>-12</v>
      </c>
      <c r="H349" s="305">
        <v>2017</v>
      </c>
      <c r="I349" s="248">
        <v>-12</v>
      </c>
      <c r="J349" s="248"/>
      <c r="K349" s="248"/>
      <c r="L349" s="248">
        <f>Table1[[#This Row],[Green target threshold]]+Table1[[#This Row],[Green target threshold]]*0.5</f>
        <v>0</v>
      </c>
      <c r="M349" s="248"/>
      <c r="N349" s="248"/>
      <c r="O349" s="248"/>
      <c r="P349" s="248"/>
      <c r="Q349" s="248"/>
      <c r="R349" s="248"/>
      <c r="S349" s="248">
        <f>Table1[[#This Row],[Red target threshold]]-Table1[[#This Row],[Red target threshold]]*0.5</f>
        <v>0</v>
      </c>
      <c r="T349" s="248"/>
      <c r="U349" s="278"/>
    </row>
    <row r="350" spans="1:21" s="262" customFormat="1" hidden="1" x14ac:dyDescent="0.25">
      <c r="A350" s="293"/>
      <c r="B350" s="290"/>
      <c r="C350" s="290"/>
      <c r="D350" s="290"/>
      <c r="E350" s="291"/>
      <c r="F350" s="291"/>
      <c r="G350" s="291">
        <v>2016</v>
      </c>
      <c r="H350" s="291"/>
      <c r="I350" s="291"/>
      <c r="J350" s="291"/>
      <c r="K350" s="291"/>
      <c r="L350" s="291">
        <f>Table1[[#This Row],[Green target threshold]]+Table1[[#This Row],[Green target threshold]]*0.5</f>
        <v>0</v>
      </c>
      <c r="M350" s="291"/>
      <c r="N350" s="291"/>
      <c r="O350" s="291"/>
      <c r="P350" s="291"/>
      <c r="Q350" s="291"/>
      <c r="R350" s="291"/>
      <c r="S350" s="291">
        <f>Table1[[#This Row],[Red target threshold]]-Table1[[#This Row],[Red target threshold]]*0.5</f>
        <v>0</v>
      </c>
      <c r="T350" s="291"/>
      <c r="U350" s="297"/>
    </row>
    <row r="351" spans="1:21" hidden="1" x14ac:dyDescent="0.25">
      <c r="A351" s="302" t="s">
        <v>597</v>
      </c>
      <c r="B351" s="337" t="s">
        <v>820</v>
      </c>
      <c r="C351" s="337" t="s">
        <v>818</v>
      </c>
      <c r="D351" s="336" t="s">
        <v>1090</v>
      </c>
      <c r="E351" s="304"/>
      <c r="F351" s="304"/>
      <c r="G351" s="304">
        <v>9.0589999999999993</v>
      </c>
      <c r="H351" s="305">
        <v>2016</v>
      </c>
      <c r="I351" s="305">
        <v>9.0589999999999993</v>
      </c>
      <c r="J351" s="305">
        <v>2015</v>
      </c>
      <c r="K351" s="295">
        <v>9.0136800000000008</v>
      </c>
      <c r="L351" s="295">
        <f>Table1[[#This Row],[Green target threshold]]-Table1[[#This Row],[Green target threshold]]*0.5</f>
        <v>4</v>
      </c>
      <c r="M351" s="305">
        <v>8</v>
      </c>
      <c r="N351" s="305"/>
      <c r="O351" s="305" t="s">
        <v>985</v>
      </c>
      <c r="P351" s="305">
        <f>(M351-K351)*0.5+K351</f>
        <v>8.5068400000000004</v>
      </c>
      <c r="Q351" s="305">
        <f>K351</f>
        <v>9.0136800000000008</v>
      </c>
      <c r="R351" s="305">
        <f>K351</f>
        <v>9.0136800000000008</v>
      </c>
      <c r="S351" s="305">
        <f>Table1[[#This Row],[Red target threshold]]+Table1[[#This Row],[Red target threshold]]*0.5</f>
        <v>13.520520000000001</v>
      </c>
      <c r="T351" s="305" t="s">
        <v>1035</v>
      </c>
      <c r="U351" s="303" t="s">
        <v>816</v>
      </c>
    </row>
    <row r="352" spans="1:21" hidden="1" x14ac:dyDescent="0.25">
      <c r="A352" s="271"/>
      <c r="B352" s="173"/>
      <c r="C352" s="173"/>
      <c r="D352" s="173" t="s">
        <v>811</v>
      </c>
      <c r="E352" s="253"/>
      <c r="F352" s="254"/>
      <c r="G352" s="255">
        <v>225</v>
      </c>
      <c r="H352" s="305">
        <v>2016</v>
      </c>
      <c r="I352" s="248">
        <v>225</v>
      </c>
      <c r="J352" s="248"/>
      <c r="K352" s="248"/>
      <c r="L352" s="248">
        <f>Table1[[#This Row],[Green target threshold]]+Table1[[#This Row],[Green target threshold]]*0.5</f>
        <v>0</v>
      </c>
      <c r="M352" s="248"/>
      <c r="N352" s="248"/>
      <c r="O352" s="248"/>
      <c r="P352" s="248"/>
      <c r="Q352" s="248"/>
      <c r="R352" s="248"/>
      <c r="S352" s="248">
        <f>Table1[[#This Row],[Red target threshold]]-Table1[[#This Row],[Red target threshold]]*0.5</f>
        <v>0</v>
      </c>
      <c r="T352" s="248"/>
      <c r="U352" s="278"/>
    </row>
    <row r="353" spans="1:22" hidden="1" x14ac:dyDescent="0.25">
      <c r="A353" s="271"/>
      <c r="B353" s="173"/>
      <c r="C353" s="173"/>
      <c r="D353" s="173" t="s">
        <v>699</v>
      </c>
      <c r="E353" s="253"/>
      <c r="F353" s="254"/>
      <c r="G353" s="255">
        <v>148</v>
      </c>
      <c r="H353" s="305">
        <v>2016</v>
      </c>
      <c r="I353" s="248">
        <v>148</v>
      </c>
      <c r="J353" s="248"/>
      <c r="K353" s="248"/>
      <c r="L353" s="248">
        <f>Table1[[#This Row],[Green target threshold]]+Table1[[#This Row],[Green target threshold]]*0.5</f>
        <v>0</v>
      </c>
      <c r="M353" s="248"/>
      <c r="N353" s="248"/>
      <c r="O353" s="248"/>
      <c r="P353" s="248"/>
      <c r="Q353" s="248"/>
      <c r="R353" s="248"/>
      <c r="S353" s="248">
        <f>Table1[[#This Row],[Red target threshold]]-Table1[[#This Row],[Red target threshold]]*0.5</f>
        <v>0</v>
      </c>
      <c r="T353" s="248"/>
      <c r="U353" s="285"/>
    </row>
    <row r="354" spans="1:22" hidden="1" x14ac:dyDescent="0.25">
      <c r="A354" s="271"/>
      <c r="B354" s="173"/>
      <c r="C354" s="173"/>
      <c r="D354" s="173" t="s">
        <v>812</v>
      </c>
      <c r="E354" s="253"/>
      <c r="F354" s="254"/>
      <c r="G354" s="255">
        <v>101</v>
      </c>
      <c r="H354" s="305">
        <v>2016</v>
      </c>
      <c r="I354" s="248">
        <v>101</v>
      </c>
      <c r="J354" s="248"/>
      <c r="K354" s="248"/>
      <c r="L354" s="248">
        <f>Table1[[#This Row],[Green target threshold]]+Table1[[#This Row],[Green target threshold]]*0.5</f>
        <v>0</v>
      </c>
      <c r="M354" s="248"/>
      <c r="N354" s="248"/>
      <c r="O354" s="248"/>
      <c r="P354" s="248"/>
      <c r="Q354" s="248"/>
      <c r="R354" s="248"/>
      <c r="S354" s="248">
        <f>Table1[[#This Row],[Red target threshold]]-Table1[[#This Row],[Red target threshold]]*0.5</f>
        <v>0</v>
      </c>
      <c r="T354" s="248"/>
      <c r="U354" s="278"/>
    </row>
    <row r="355" spans="1:22" hidden="1" x14ac:dyDescent="0.25">
      <c r="A355" s="271"/>
      <c r="B355" s="173"/>
      <c r="C355" s="173"/>
      <c r="D355" s="173" t="s">
        <v>702</v>
      </c>
      <c r="E355" s="253"/>
      <c r="F355" s="254"/>
      <c r="G355" s="255">
        <v>98</v>
      </c>
      <c r="H355" s="305">
        <v>2016</v>
      </c>
      <c r="I355" s="248">
        <v>98</v>
      </c>
      <c r="J355" s="248"/>
      <c r="K355" s="248"/>
      <c r="L355" s="248">
        <f>Table1[[#This Row],[Green target threshold]]+Table1[[#This Row],[Green target threshold]]*0.5</f>
        <v>0</v>
      </c>
      <c r="M355" s="248"/>
      <c r="N355" s="248"/>
      <c r="O355" s="248"/>
      <c r="P355" s="248"/>
      <c r="Q355" s="248"/>
      <c r="R355" s="248"/>
      <c r="S355" s="248">
        <f>Table1[[#This Row],[Red target threshold]]-Table1[[#This Row],[Red target threshold]]*0.5</f>
        <v>0</v>
      </c>
      <c r="T355" s="248"/>
      <c r="U355" s="278"/>
    </row>
    <row r="356" spans="1:22" hidden="1" x14ac:dyDescent="0.25">
      <c r="A356" s="271"/>
      <c r="B356" s="173"/>
      <c r="C356" s="173"/>
      <c r="D356" s="173" t="s">
        <v>813</v>
      </c>
      <c r="E356" s="253"/>
      <c r="F356" s="254"/>
      <c r="G356" s="255">
        <v>85</v>
      </c>
      <c r="H356" s="305">
        <v>2016</v>
      </c>
      <c r="I356" s="248">
        <v>85</v>
      </c>
      <c r="J356" s="248"/>
      <c r="K356" s="248"/>
      <c r="L356" s="248">
        <f>Table1[[#This Row],[Green target threshold]]+Table1[[#This Row],[Green target threshold]]*0.5</f>
        <v>0</v>
      </c>
      <c r="M356" s="248"/>
      <c r="N356" s="248"/>
      <c r="O356" s="248"/>
      <c r="P356" s="248"/>
      <c r="Q356" s="248"/>
      <c r="R356" s="248"/>
      <c r="S356" s="248">
        <f>Table1[[#This Row],[Red target threshold]]-Table1[[#This Row],[Red target threshold]]*0.5</f>
        <v>0</v>
      </c>
      <c r="T356" s="248"/>
      <c r="U356" s="278"/>
    </row>
    <row r="357" spans="1:22" hidden="1" x14ac:dyDescent="0.25">
      <c r="A357" s="271"/>
      <c r="B357" s="173"/>
      <c r="C357" s="173"/>
      <c r="D357" s="173" t="s">
        <v>929</v>
      </c>
      <c r="E357" s="256"/>
      <c r="F357" s="257"/>
      <c r="G357" s="258">
        <v>10</v>
      </c>
      <c r="H357" s="305">
        <v>2016</v>
      </c>
      <c r="I357" s="248">
        <v>10</v>
      </c>
      <c r="J357" s="248"/>
      <c r="K357" s="248"/>
      <c r="L357" s="248">
        <f>Table1[[#This Row],[Green target threshold]]+Table1[[#This Row],[Green target threshold]]*0.5</f>
        <v>0</v>
      </c>
      <c r="M357" s="248"/>
      <c r="N357" s="248"/>
      <c r="O357" s="248"/>
      <c r="P357" s="248"/>
      <c r="Q357" s="248"/>
      <c r="R357" s="248"/>
      <c r="S357" s="248">
        <f>Table1[[#This Row],[Red target threshold]]-Table1[[#This Row],[Red target threshold]]*0.5</f>
        <v>0</v>
      </c>
      <c r="T357" s="248"/>
      <c r="U357" s="278"/>
    </row>
    <row r="358" spans="1:22" hidden="1" x14ac:dyDescent="0.25">
      <c r="A358" s="271"/>
      <c r="B358" s="173"/>
      <c r="C358" s="173"/>
      <c r="D358" s="173" t="s">
        <v>844</v>
      </c>
      <c r="E358" s="256"/>
      <c r="F358" s="257"/>
      <c r="G358" s="258">
        <v>10</v>
      </c>
      <c r="H358" s="305">
        <v>2016</v>
      </c>
      <c r="I358" s="248">
        <v>10</v>
      </c>
      <c r="J358" s="248"/>
      <c r="K358" s="248"/>
      <c r="L358" s="248">
        <f>Table1[[#This Row],[Green target threshold]]+Table1[[#This Row],[Green target threshold]]*0.5</f>
        <v>0</v>
      </c>
      <c r="M358" s="248"/>
      <c r="N358" s="248"/>
      <c r="O358" s="248"/>
      <c r="P358" s="248"/>
      <c r="Q358" s="248"/>
      <c r="R358" s="248"/>
      <c r="S358" s="248">
        <f>Table1[[#This Row],[Red target threshold]]-Table1[[#This Row],[Red target threshold]]*0.5</f>
        <v>0</v>
      </c>
      <c r="T358" s="248"/>
      <c r="U358" s="278"/>
    </row>
    <row r="359" spans="1:22" hidden="1" x14ac:dyDescent="0.25">
      <c r="A359" s="271"/>
      <c r="B359" s="173"/>
      <c r="C359" s="173"/>
      <c r="D359" s="173" t="s">
        <v>928</v>
      </c>
      <c r="E359" s="256"/>
      <c r="F359" s="257"/>
      <c r="G359" s="258">
        <v>10</v>
      </c>
      <c r="H359" s="305">
        <v>2016</v>
      </c>
      <c r="I359" s="248">
        <v>10</v>
      </c>
      <c r="J359" s="248"/>
      <c r="K359" s="248"/>
      <c r="L359" s="248">
        <f>Table1[[#This Row],[Green target threshold]]+Table1[[#This Row],[Green target threshold]]*0.5</f>
        <v>0</v>
      </c>
      <c r="M359" s="248"/>
      <c r="N359" s="248"/>
      <c r="O359" s="248"/>
      <c r="P359" s="248"/>
      <c r="Q359" s="248"/>
      <c r="R359" s="248"/>
      <c r="S359" s="248">
        <f>Table1[[#This Row],[Red target threshold]]-Table1[[#This Row],[Red target threshold]]*0.5</f>
        <v>0</v>
      </c>
      <c r="T359" s="248"/>
      <c r="U359" s="278"/>
    </row>
    <row r="360" spans="1:22" hidden="1" x14ac:dyDescent="0.25">
      <c r="A360" s="271"/>
      <c r="B360" s="173"/>
      <c r="C360" s="173"/>
      <c r="D360" s="173" t="s">
        <v>1036</v>
      </c>
      <c r="E360" s="256"/>
      <c r="F360" s="257"/>
      <c r="G360" s="258">
        <v>5</v>
      </c>
      <c r="H360" s="305">
        <v>2016</v>
      </c>
      <c r="I360" s="248">
        <v>5</v>
      </c>
      <c r="J360" s="248"/>
      <c r="K360" s="248"/>
      <c r="L360" s="248">
        <f>Table1[[#This Row],[Green target threshold]]+Table1[[#This Row],[Green target threshold]]*0.5</f>
        <v>0</v>
      </c>
      <c r="M360" s="248"/>
      <c r="N360" s="248"/>
      <c r="O360" s="248"/>
      <c r="P360" s="248"/>
      <c r="Q360" s="248"/>
      <c r="R360" s="248"/>
      <c r="S360" s="248">
        <f>Table1[[#This Row],[Red target threshold]]-Table1[[#This Row],[Red target threshold]]*0.5</f>
        <v>0</v>
      </c>
      <c r="T360" s="248"/>
      <c r="U360" s="278"/>
    </row>
    <row r="361" spans="1:22" hidden="1" x14ac:dyDescent="0.25">
      <c r="A361" s="271"/>
      <c r="B361" s="173"/>
      <c r="C361" s="173"/>
      <c r="D361" s="173" t="s">
        <v>713</v>
      </c>
      <c r="E361" s="256"/>
      <c r="F361" s="257"/>
      <c r="G361" s="258">
        <v>5</v>
      </c>
      <c r="H361" s="305">
        <v>2016</v>
      </c>
      <c r="I361" s="248">
        <v>5</v>
      </c>
      <c r="J361" s="248"/>
      <c r="K361" s="248"/>
      <c r="L361" s="248">
        <f>Table1[[#This Row],[Green target threshold]]+Table1[[#This Row],[Green target threshold]]*0.5</f>
        <v>0</v>
      </c>
      <c r="M361" s="248"/>
      <c r="N361" s="248"/>
      <c r="O361" s="248"/>
      <c r="P361" s="248"/>
      <c r="Q361" s="248"/>
      <c r="R361" s="248"/>
      <c r="S361" s="248">
        <f>Table1[[#This Row],[Red target threshold]]-Table1[[#This Row],[Red target threshold]]*0.5</f>
        <v>0</v>
      </c>
      <c r="T361" s="248"/>
      <c r="U361" s="278"/>
    </row>
    <row r="362" spans="1:22" s="262" customFormat="1" hidden="1" x14ac:dyDescent="0.25">
      <c r="A362" s="293"/>
      <c r="B362" s="290"/>
      <c r="C362" s="290"/>
      <c r="D362" s="332"/>
      <c r="E362" s="291">
        <v>2015</v>
      </c>
      <c r="F362" s="291">
        <v>2016</v>
      </c>
      <c r="G362" s="291">
        <v>2017</v>
      </c>
      <c r="H362" s="291"/>
      <c r="I362" s="291"/>
      <c r="J362" s="291"/>
      <c r="K362" s="291"/>
      <c r="L362" s="291">
        <f>Table1[[#This Row],[Green target threshold]]+Table1[[#This Row],[Green target threshold]]*0.5</f>
        <v>0</v>
      </c>
      <c r="M362" s="291"/>
      <c r="N362" s="291"/>
      <c r="O362" s="291"/>
      <c r="P362" s="291"/>
      <c r="Q362" s="291"/>
      <c r="R362" s="291"/>
      <c r="S362" s="291">
        <f>Table1[[#This Row],[Red target threshold]]-Table1[[#This Row],[Red target threshold]]*0.5</f>
        <v>0</v>
      </c>
      <c r="T362" s="291"/>
      <c r="U362" s="297"/>
    </row>
    <row r="363" spans="1:22" x14ac:dyDescent="0.25">
      <c r="A363" s="302" t="s">
        <v>598</v>
      </c>
      <c r="B363" s="337" t="s">
        <v>829</v>
      </c>
      <c r="C363" s="337" t="s">
        <v>819</v>
      </c>
      <c r="D363" s="336" t="s">
        <v>904</v>
      </c>
      <c r="E363" s="304">
        <v>106330.2</v>
      </c>
      <c r="F363" s="304">
        <v>108375.6</v>
      </c>
      <c r="G363" s="304">
        <v>107659.5</v>
      </c>
      <c r="H363" s="305">
        <v>2017</v>
      </c>
      <c r="I363" s="305">
        <v>107659.5</v>
      </c>
      <c r="J363" s="305">
        <v>2015</v>
      </c>
      <c r="K363" s="295">
        <v>108644</v>
      </c>
      <c r="L363" s="295">
        <f>Table1[[#This Row],[Green target threshold]]-Table1[[#This Row],[Green target threshold]]*0.5</f>
        <v>38025.4</v>
      </c>
      <c r="M363" s="312">
        <f>Table1[[#This Row],[Model reference value]]+Table1[[#This Row],[Model reference value]]*Table1[[#This Row],[Improvement rate]]</f>
        <v>76050.8</v>
      </c>
      <c r="N363" s="312">
        <v>-0.3</v>
      </c>
      <c r="O363" s="305" t="s">
        <v>1140</v>
      </c>
      <c r="P363" s="305">
        <f>(M363-K363)*0.5+K363</f>
        <v>92347.4</v>
      </c>
      <c r="Q363" s="305">
        <f>K363</f>
        <v>108644</v>
      </c>
      <c r="R363" s="305">
        <f>K363</f>
        <v>108644</v>
      </c>
      <c r="S363" s="305">
        <f>Table1[[#This Row],[Red target threshold]]+Table1[[#This Row],[Red target threshold]]*0.5</f>
        <v>162966</v>
      </c>
      <c r="T363" s="305"/>
      <c r="U363" s="303" t="s">
        <v>846</v>
      </c>
      <c r="V363" s="176" t="s">
        <v>934</v>
      </c>
    </row>
    <row r="364" spans="1:22" hidden="1" x14ac:dyDescent="0.25">
      <c r="A364" s="271"/>
      <c r="B364" s="173"/>
      <c r="C364" s="173"/>
      <c r="D364" s="259" t="s">
        <v>777</v>
      </c>
      <c r="E364" s="253">
        <v>29306</v>
      </c>
      <c r="F364" s="254">
        <v>26522.6</v>
      </c>
      <c r="G364" s="255">
        <v>24580.9</v>
      </c>
      <c r="H364" s="305">
        <v>2017</v>
      </c>
      <c r="I364" s="248">
        <v>24580.9</v>
      </c>
      <c r="J364" s="248"/>
      <c r="K364" s="248"/>
      <c r="L364" s="248">
        <f>Table1[[#This Row],[Green target threshold]]+Table1[[#This Row],[Green target threshold]]*0.5</f>
        <v>0</v>
      </c>
      <c r="M364" s="248"/>
      <c r="N364" s="248"/>
      <c r="O364" s="248"/>
      <c r="P364" s="248"/>
      <c r="Q364" s="248"/>
      <c r="R364" s="248"/>
      <c r="S364" s="248">
        <f>Table1[[#This Row],[Red target threshold]]-Table1[[#This Row],[Red target threshold]]*0.5</f>
        <v>0</v>
      </c>
      <c r="T364" s="248"/>
      <c r="U364" s="278"/>
    </row>
    <row r="365" spans="1:22" hidden="1" x14ac:dyDescent="0.25">
      <c r="A365" s="271"/>
      <c r="B365" s="173"/>
      <c r="C365" s="173"/>
      <c r="D365" s="259" t="s">
        <v>691</v>
      </c>
      <c r="E365" s="253">
        <v>17372.3</v>
      </c>
      <c r="F365" s="254">
        <v>16735.400000000001</v>
      </c>
      <c r="G365" s="255">
        <v>16958.400000000001</v>
      </c>
      <c r="H365" s="305">
        <v>2017</v>
      </c>
      <c r="I365" s="248">
        <v>16958.400000000001</v>
      </c>
      <c r="J365" s="248"/>
      <c r="K365" s="248"/>
      <c r="L365" s="248">
        <f>Table1[[#This Row],[Green target threshold]]+Table1[[#This Row],[Green target threshold]]*0.5</f>
        <v>0</v>
      </c>
      <c r="M365" s="248"/>
      <c r="N365" s="248"/>
      <c r="O365" s="248"/>
      <c r="P365" s="248"/>
      <c r="Q365" s="248"/>
      <c r="R365" s="248"/>
      <c r="S365" s="248">
        <f>Table1[[#This Row],[Red target threshold]]-Table1[[#This Row],[Red target threshold]]*0.5</f>
        <v>0</v>
      </c>
      <c r="T365" s="248"/>
      <c r="U365" s="278"/>
    </row>
    <row r="366" spans="1:22" hidden="1" x14ac:dyDescent="0.25">
      <c r="A366" s="271"/>
      <c r="B366" s="173"/>
      <c r="C366" s="173"/>
      <c r="D366" s="259" t="s">
        <v>805</v>
      </c>
      <c r="E366" s="253">
        <v>12161.9</v>
      </c>
      <c r="F366" s="254">
        <v>12812.9</v>
      </c>
      <c r="G366" s="255">
        <v>12897.9</v>
      </c>
      <c r="H366" s="305">
        <v>2017</v>
      </c>
      <c r="I366" s="248">
        <v>12897.9</v>
      </c>
      <c r="J366" s="248"/>
      <c r="K366" s="248"/>
      <c r="L366" s="248">
        <f>Table1[[#This Row],[Green target threshold]]+Table1[[#This Row],[Green target threshold]]*0.5</f>
        <v>0</v>
      </c>
      <c r="M366" s="248"/>
      <c r="N366" s="248"/>
      <c r="O366" s="248"/>
      <c r="P366" s="248"/>
      <c r="Q366" s="248"/>
      <c r="R366" s="248"/>
      <c r="S366" s="248">
        <f>Table1[[#This Row],[Red target threshold]]-Table1[[#This Row],[Red target threshold]]*0.5</f>
        <v>0</v>
      </c>
      <c r="T366" s="248"/>
      <c r="U366" s="278"/>
    </row>
    <row r="367" spans="1:22" hidden="1" x14ac:dyDescent="0.25">
      <c r="A367" s="271"/>
      <c r="B367" s="173"/>
      <c r="C367" s="173"/>
      <c r="D367" s="259" t="s">
        <v>778</v>
      </c>
      <c r="E367" s="253">
        <v>3532.7</v>
      </c>
      <c r="F367" s="254">
        <v>4366</v>
      </c>
      <c r="G367" s="255">
        <v>4377</v>
      </c>
      <c r="H367" s="305">
        <v>2017</v>
      </c>
      <c r="I367" s="248">
        <v>4377</v>
      </c>
      <c r="J367" s="248"/>
      <c r="K367" s="248"/>
      <c r="L367" s="248">
        <f>Table1[[#This Row],[Green target threshold]]+Table1[[#This Row],[Green target threshold]]*0.5</f>
        <v>0</v>
      </c>
      <c r="M367" s="248"/>
      <c r="N367" s="248"/>
      <c r="O367" s="248"/>
      <c r="P367" s="248"/>
      <c r="Q367" s="248"/>
      <c r="R367" s="248"/>
      <c r="S367" s="248">
        <f>Table1[[#This Row],[Red target threshold]]-Table1[[#This Row],[Red target threshold]]*0.5</f>
        <v>0</v>
      </c>
      <c r="T367" s="248"/>
      <c r="U367" s="278"/>
    </row>
    <row r="368" spans="1:22" hidden="1" x14ac:dyDescent="0.25">
      <c r="A368" s="271"/>
      <c r="B368" s="173"/>
      <c r="C368" s="173"/>
      <c r="D368" s="259" t="s">
        <v>775</v>
      </c>
      <c r="E368" s="253">
        <v>2860</v>
      </c>
      <c r="F368" s="254">
        <v>3231.9</v>
      </c>
      <c r="G368" s="255">
        <v>3473</v>
      </c>
      <c r="H368" s="305">
        <v>2017</v>
      </c>
      <c r="I368" s="248">
        <v>3473</v>
      </c>
      <c r="J368" s="248"/>
      <c r="K368" s="248"/>
      <c r="L368" s="248">
        <f>Table1[[#This Row],[Green target threshold]]+Table1[[#This Row],[Green target threshold]]*0.5</f>
        <v>0</v>
      </c>
      <c r="M368" s="248"/>
      <c r="N368" s="248"/>
      <c r="O368" s="248"/>
      <c r="P368" s="248"/>
      <c r="Q368" s="248"/>
      <c r="R368" s="248"/>
      <c r="S368" s="248">
        <f>Table1[[#This Row],[Red target threshold]]-Table1[[#This Row],[Red target threshold]]*0.5</f>
        <v>0</v>
      </c>
      <c r="T368" s="248"/>
      <c r="U368" s="278"/>
    </row>
    <row r="369" spans="1:22" hidden="1" x14ac:dyDescent="0.25">
      <c r="A369" s="271"/>
      <c r="B369" s="173"/>
      <c r="C369" s="173"/>
      <c r="D369" s="259" t="s">
        <v>810</v>
      </c>
      <c r="E369" s="256">
        <v>5.6</v>
      </c>
      <c r="F369" s="257">
        <v>6.6</v>
      </c>
      <c r="G369" s="258">
        <v>6.7</v>
      </c>
      <c r="H369" s="305">
        <v>2017</v>
      </c>
      <c r="I369" s="248">
        <v>6.7</v>
      </c>
      <c r="J369" s="248"/>
      <c r="K369" s="248"/>
      <c r="L369" s="248">
        <f>Table1[[#This Row],[Green target threshold]]+Table1[[#This Row],[Green target threshold]]*0.5</f>
        <v>0</v>
      </c>
      <c r="M369" s="248"/>
      <c r="N369" s="248"/>
      <c r="O369" s="248"/>
      <c r="P369" s="248"/>
      <c r="Q369" s="248"/>
      <c r="R369" s="248"/>
      <c r="S369" s="248">
        <f>Table1[[#This Row],[Red target threshold]]-Table1[[#This Row],[Red target threshold]]*0.5</f>
        <v>0</v>
      </c>
      <c r="T369" s="248"/>
      <c r="U369" s="278"/>
    </row>
    <row r="370" spans="1:22" hidden="1" x14ac:dyDescent="0.25">
      <c r="A370" s="271"/>
      <c r="B370" s="173"/>
      <c r="C370" s="173"/>
      <c r="D370" s="259" t="s">
        <v>806</v>
      </c>
      <c r="E370" s="256">
        <v>9.6999999999999993</v>
      </c>
      <c r="F370" s="257">
        <v>5.3</v>
      </c>
      <c r="G370" s="258">
        <v>7.1</v>
      </c>
      <c r="H370" s="305">
        <v>2017</v>
      </c>
      <c r="I370" s="248">
        <v>7.1</v>
      </c>
      <c r="J370" s="248"/>
      <c r="K370" s="248"/>
      <c r="L370" s="248">
        <f>Table1[[#This Row],[Green target threshold]]+Table1[[#This Row],[Green target threshold]]*0.5</f>
        <v>0</v>
      </c>
      <c r="M370" s="248"/>
      <c r="N370" s="248"/>
      <c r="O370" s="248"/>
      <c r="P370" s="248"/>
      <c r="Q370" s="248"/>
      <c r="R370" s="248"/>
      <c r="S370" s="248">
        <f>Table1[[#This Row],[Red target threshold]]-Table1[[#This Row],[Red target threshold]]*0.5</f>
        <v>0</v>
      </c>
      <c r="T370" s="248"/>
      <c r="U370" s="278"/>
    </row>
    <row r="371" spans="1:22" hidden="1" x14ac:dyDescent="0.25">
      <c r="A371" s="271"/>
      <c r="B371" s="173"/>
      <c r="C371" s="173"/>
      <c r="D371" s="259" t="s">
        <v>689</v>
      </c>
      <c r="E371" s="256">
        <v>8.4</v>
      </c>
      <c r="F371" s="257">
        <v>7.3</v>
      </c>
      <c r="G371" s="258">
        <v>7.2</v>
      </c>
      <c r="H371" s="305">
        <v>2017</v>
      </c>
      <c r="I371" s="248">
        <v>7.2</v>
      </c>
      <c r="J371" s="248"/>
      <c r="K371" s="248"/>
      <c r="L371" s="248">
        <f>Table1[[#This Row],[Green target threshold]]+Table1[[#This Row],[Green target threshold]]*0.5</f>
        <v>0</v>
      </c>
      <c r="M371" s="248"/>
      <c r="N371" s="248"/>
      <c r="O371" s="248"/>
      <c r="P371" s="248"/>
      <c r="Q371" s="248"/>
      <c r="R371" s="248"/>
      <c r="S371" s="248">
        <f>Table1[[#This Row],[Red target threshold]]-Table1[[#This Row],[Red target threshold]]*0.5</f>
        <v>0</v>
      </c>
      <c r="T371" s="248"/>
      <c r="U371" s="278"/>
    </row>
    <row r="372" spans="1:22" hidden="1" x14ac:dyDescent="0.25">
      <c r="A372" s="271"/>
      <c r="B372" s="173"/>
      <c r="C372" s="173"/>
      <c r="D372" s="259" t="s">
        <v>807</v>
      </c>
      <c r="E372" s="256"/>
      <c r="F372" s="257">
        <v>10</v>
      </c>
      <c r="G372" s="258">
        <v>13.5</v>
      </c>
      <c r="H372" s="305">
        <v>2017</v>
      </c>
      <c r="I372" s="248">
        <v>13.5</v>
      </c>
      <c r="J372" s="248"/>
      <c r="K372" s="248"/>
      <c r="L372" s="248">
        <f>Table1[[#This Row],[Green target threshold]]+Table1[[#This Row],[Green target threshold]]*0.5</f>
        <v>0</v>
      </c>
      <c r="M372" s="248"/>
      <c r="N372" s="248"/>
      <c r="O372" s="248"/>
      <c r="P372" s="248"/>
      <c r="Q372" s="248"/>
      <c r="R372" s="248"/>
      <c r="S372" s="248">
        <f>Table1[[#This Row],[Red target threshold]]-Table1[[#This Row],[Red target threshold]]*0.5</f>
        <v>0</v>
      </c>
      <c r="T372" s="248"/>
      <c r="U372" s="278"/>
    </row>
    <row r="373" spans="1:22" hidden="1" x14ac:dyDescent="0.25">
      <c r="A373" s="271"/>
      <c r="B373" s="173"/>
      <c r="C373" s="173"/>
      <c r="D373" s="259" t="s">
        <v>809</v>
      </c>
      <c r="E373" s="256">
        <v>19.100000000000001</v>
      </c>
      <c r="F373" s="257">
        <v>19.100000000000001</v>
      </c>
      <c r="G373" s="258">
        <v>20.8</v>
      </c>
      <c r="H373" s="305">
        <v>2017</v>
      </c>
      <c r="I373" s="248">
        <v>20.8</v>
      </c>
      <c r="J373" s="248"/>
      <c r="K373" s="248"/>
      <c r="L373" s="248">
        <f>Table1[[#This Row],[Green target threshold]]+Table1[[#This Row],[Green target threshold]]*0.5</f>
        <v>0</v>
      </c>
      <c r="M373" s="248"/>
      <c r="N373" s="248"/>
      <c r="O373" s="248"/>
      <c r="P373" s="248"/>
      <c r="Q373" s="248"/>
      <c r="R373" s="248"/>
      <c r="S373" s="248">
        <f>Table1[[#This Row],[Red target threshold]]-Table1[[#This Row],[Red target threshold]]*0.5</f>
        <v>0</v>
      </c>
      <c r="T373" s="248"/>
      <c r="U373" s="278"/>
    </row>
    <row r="374" spans="1:22" s="262" customFormat="1" hidden="1" x14ac:dyDescent="0.25">
      <c r="A374" s="293"/>
      <c r="B374" s="290"/>
      <c r="C374" s="290"/>
      <c r="D374" s="290"/>
      <c r="E374" s="291">
        <v>2015</v>
      </c>
      <c r="F374" s="291">
        <v>2016</v>
      </c>
      <c r="G374" s="291">
        <v>2017</v>
      </c>
      <c r="H374" s="291"/>
      <c r="I374" s="291"/>
      <c r="J374" s="291"/>
      <c r="K374" s="291"/>
      <c r="L374" s="291">
        <f>Table1[[#This Row],[Green target threshold]]+Table1[[#This Row],[Green target threshold]]*0.5</f>
        <v>0</v>
      </c>
      <c r="M374" s="291"/>
      <c r="N374" s="291"/>
      <c r="O374" s="291"/>
      <c r="P374" s="291"/>
      <c r="Q374" s="291"/>
      <c r="R374" s="291"/>
      <c r="S374" s="291">
        <f>Table1[[#This Row],[Red target threshold]]-Table1[[#This Row],[Red target threshold]]*0.5</f>
        <v>0</v>
      </c>
      <c r="T374" s="291"/>
      <c r="U374" s="297"/>
    </row>
    <row r="375" spans="1:22" x14ac:dyDescent="0.25">
      <c r="A375" s="302" t="s">
        <v>601</v>
      </c>
      <c r="B375" s="337" t="s">
        <v>828</v>
      </c>
      <c r="C375" s="337" t="s">
        <v>1038</v>
      </c>
      <c r="D375" s="336" t="s">
        <v>904</v>
      </c>
      <c r="E375" s="304">
        <f>42290.37*0.4365</f>
        <v>18459.746505000003</v>
      </c>
      <c r="F375" s="304">
        <f>44294.649*0.4365</f>
        <v>19334.614288499997</v>
      </c>
      <c r="G375" s="304">
        <f>45451.398*0.4365</f>
        <v>19839.535227</v>
      </c>
      <c r="H375" s="305">
        <v>2017</v>
      </c>
      <c r="I375" s="305">
        <v>19839.535227</v>
      </c>
      <c r="J375" s="305">
        <v>2015</v>
      </c>
      <c r="K375" s="295">
        <v>20339.8</v>
      </c>
      <c r="L375" s="295">
        <f>Table1[[#This Row],[Green target threshold]]-Table1[[#This Row],[Green target threshold]]*0.5</f>
        <v>7118.93</v>
      </c>
      <c r="M375" s="312">
        <f>Table1[[#This Row],[Model reference value]]+Table1[[#This Row],[Model reference value]]*Table1[[#This Row],[Improvement rate]]</f>
        <v>14237.86</v>
      </c>
      <c r="N375" s="312">
        <v>-0.3</v>
      </c>
      <c r="O375" s="305" t="s">
        <v>1140</v>
      </c>
      <c r="P375" s="305">
        <f>(M375-K375)*0.5+K375</f>
        <v>17288.830000000002</v>
      </c>
      <c r="Q375" s="305">
        <f>K375</f>
        <v>20339.8</v>
      </c>
      <c r="R375" s="305">
        <f>K375</f>
        <v>20339.8</v>
      </c>
      <c r="S375" s="305">
        <f>Table1[[#This Row],[Red target threshold]]+Table1[[#This Row],[Red target threshold]]*0.5</f>
        <v>30509.699999999997</v>
      </c>
      <c r="T375" s="305" t="s">
        <v>1095</v>
      </c>
      <c r="U375" s="303" t="s">
        <v>846</v>
      </c>
      <c r="V375" s="176" t="s">
        <v>934</v>
      </c>
    </row>
    <row r="376" spans="1:22" hidden="1" x14ac:dyDescent="0.25">
      <c r="A376" s="271"/>
      <c r="B376" s="173"/>
      <c r="C376" s="173"/>
      <c r="D376" s="173"/>
      <c r="E376" s="253"/>
      <c r="F376" s="254"/>
      <c r="G376" s="255"/>
      <c r="H376" s="305"/>
      <c r="I376" s="248"/>
      <c r="J376" s="248"/>
      <c r="K376" s="248"/>
      <c r="L376" s="248">
        <f>Table1[[#This Row],[Green target threshold]]+Table1[[#This Row],[Green target threshold]]*0.5</f>
        <v>0</v>
      </c>
      <c r="M376" s="248"/>
      <c r="N376" s="248"/>
      <c r="O376" s="248"/>
      <c r="P376" s="248"/>
      <c r="Q376" s="248"/>
      <c r="R376" s="248"/>
      <c r="S376" s="248">
        <f>Table1[[#This Row],[Red target threshold]]-Table1[[#This Row],[Red target threshold]]*0.5</f>
        <v>0</v>
      </c>
      <c r="T376" s="248"/>
      <c r="U376" s="278"/>
    </row>
    <row r="377" spans="1:22" hidden="1" x14ac:dyDescent="0.25">
      <c r="A377" s="271"/>
      <c r="B377" s="173"/>
      <c r="C377" s="173"/>
      <c r="D377" s="173"/>
      <c r="E377" s="253"/>
      <c r="F377" s="254"/>
      <c r="G377" s="255"/>
      <c r="H377" s="305"/>
      <c r="I377" s="248"/>
      <c r="J377" s="248"/>
      <c r="K377" s="248"/>
      <c r="L377" s="248">
        <f>Table1[[#This Row],[Green target threshold]]+Table1[[#This Row],[Green target threshold]]*0.5</f>
        <v>0</v>
      </c>
      <c r="M377" s="248"/>
      <c r="N377" s="248"/>
      <c r="O377" s="248"/>
      <c r="P377" s="248"/>
      <c r="Q377" s="248"/>
      <c r="R377" s="248"/>
      <c r="S377" s="248">
        <f>Table1[[#This Row],[Red target threshold]]-Table1[[#This Row],[Red target threshold]]*0.5</f>
        <v>0</v>
      </c>
      <c r="T377" s="248"/>
      <c r="U377" s="278"/>
    </row>
    <row r="378" spans="1:22" hidden="1" x14ac:dyDescent="0.25">
      <c r="A378" s="271"/>
      <c r="B378" s="173"/>
      <c r="C378" s="173"/>
      <c r="D378" s="173"/>
      <c r="E378" s="253"/>
      <c r="F378" s="254"/>
      <c r="G378" s="255"/>
      <c r="H378" s="305"/>
      <c r="I378" s="248"/>
      <c r="J378" s="248"/>
      <c r="K378" s="248"/>
      <c r="L378" s="248">
        <f>Table1[[#This Row],[Green target threshold]]+Table1[[#This Row],[Green target threshold]]*0.5</f>
        <v>0</v>
      </c>
      <c r="M378" s="248"/>
      <c r="N378" s="248"/>
      <c r="O378" s="248"/>
      <c r="P378" s="248"/>
      <c r="Q378" s="248"/>
      <c r="R378" s="248"/>
      <c r="S378" s="248">
        <f>Table1[[#This Row],[Red target threshold]]-Table1[[#This Row],[Red target threshold]]*0.5</f>
        <v>0</v>
      </c>
      <c r="T378" s="248"/>
      <c r="U378" s="278"/>
    </row>
    <row r="379" spans="1:22" hidden="1" x14ac:dyDescent="0.25">
      <c r="A379" s="271"/>
      <c r="B379" s="173"/>
      <c r="C379" s="173"/>
      <c r="D379" s="173"/>
      <c r="E379" s="253"/>
      <c r="F379" s="254"/>
      <c r="G379" s="255"/>
      <c r="H379" s="305"/>
      <c r="I379" s="248"/>
      <c r="J379" s="248"/>
      <c r="K379" s="248"/>
      <c r="L379" s="248">
        <f>Table1[[#This Row],[Green target threshold]]+Table1[[#This Row],[Green target threshold]]*0.5</f>
        <v>0</v>
      </c>
      <c r="M379" s="248"/>
      <c r="N379" s="248"/>
      <c r="O379" s="248"/>
      <c r="P379" s="248"/>
      <c r="Q379" s="248"/>
      <c r="R379" s="248"/>
      <c r="S379" s="248">
        <f>Table1[[#This Row],[Red target threshold]]-Table1[[#This Row],[Red target threshold]]*0.5</f>
        <v>0</v>
      </c>
      <c r="T379" s="248"/>
      <c r="U379" s="278"/>
    </row>
    <row r="380" spans="1:22" hidden="1" x14ac:dyDescent="0.25">
      <c r="A380" s="271"/>
      <c r="B380" s="173"/>
      <c r="C380" s="173"/>
      <c r="D380" s="173"/>
      <c r="E380" s="253"/>
      <c r="F380" s="254"/>
      <c r="G380" s="255"/>
      <c r="H380" s="305"/>
      <c r="I380" s="248"/>
      <c r="J380" s="248"/>
      <c r="K380" s="248"/>
      <c r="L380" s="248">
        <f>Table1[[#This Row],[Green target threshold]]+Table1[[#This Row],[Green target threshold]]*0.5</f>
        <v>0</v>
      </c>
      <c r="M380" s="248"/>
      <c r="N380" s="248"/>
      <c r="O380" s="248"/>
      <c r="P380" s="248"/>
      <c r="Q380" s="248"/>
      <c r="R380" s="248"/>
      <c r="S380" s="248">
        <f>Table1[[#This Row],[Red target threshold]]-Table1[[#This Row],[Red target threshold]]*0.5</f>
        <v>0</v>
      </c>
      <c r="T380" s="248"/>
      <c r="U380" s="278"/>
    </row>
    <row r="381" spans="1:22" hidden="1" x14ac:dyDescent="0.25">
      <c r="A381" s="271"/>
      <c r="B381" s="173"/>
      <c r="C381" s="173"/>
      <c r="D381" s="173"/>
      <c r="E381" s="256"/>
      <c r="F381" s="257"/>
      <c r="G381" s="258"/>
      <c r="H381" s="305"/>
      <c r="I381" s="248"/>
      <c r="J381" s="248"/>
      <c r="K381" s="248"/>
      <c r="L381" s="248">
        <f>Table1[[#This Row],[Green target threshold]]+Table1[[#This Row],[Green target threshold]]*0.5</f>
        <v>0</v>
      </c>
      <c r="M381" s="248"/>
      <c r="N381" s="248"/>
      <c r="O381" s="248"/>
      <c r="P381" s="248"/>
      <c r="Q381" s="248"/>
      <c r="R381" s="248"/>
      <c r="S381" s="248">
        <f>Table1[[#This Row],[Red target threshold]]-Table1[[#This Row],[Red target threshold]]*0.5</f>
        <v>0</v>
      </c>
      <c r="T381" s="248"/>
      <c r="U381" s="278"/>
    </row>
    <row r="382" spans="1:22" hidden="1" x14ac:dyDescent="0.25">
      <c r="A382" s="271"/>
      <c r="B382" s="173"/>
      <c r="C382" s="173"/>
      <c r="D382" s="173"/>
      <c r="E382" s="256"/>
      <c r="F382" s="257"/>
      <c r="G382" s="258"/>
      <c r="H382" s="305"/>
      <c r="I382" s="248"/>
      <c r="J382" s="248"/>
      <c r="K382" s="248"/>
      <c r="L382" s="248">
        <f>Table1[[#This Row],[Green target threshold]]+Table1[[#This Row],[Green target threshold]]*0.5</f>
        <v>0</v>
      </c>
      <c r="M382" s="248"/>
      <c r="N382" s="248"/>
      <c r="O382" s="248"/>
      <c r="P382" s="248"/>
      <c r="Q382" s="248"/>
      <c r="R382" s="248"/>
      <c r="S382" s="248">
        <f>Table1[[#This Row],[Red target threshold]]-Table1[[#This Row],[Red target threshold]]*0.5</f>
        <v>0</v>
      </c>
      <c r="T382" s="248"/>
      <c r="U382" s="278"/>
    </row>
    <row r="383" spans="1:22" hidden="1" x14ac:dyDescent="0.25">
      <c r="A383" s="271"/>
      <c r="B383" s="173"/>
      <c r="C383" s="173"/>
      <c r="D383" s="173"/>
      <c r="E383" s="256"/>
      <c r="F383" s="257"/>
      <c r="G383" s="258"/>
      <c r="H383" s="305"/>
      <c r="I383" s="248"/>
      <c r="J383" s="248"/>
      <c r="K383" s="248"/>
      <c r="L383" s="248">
        <f>Table1[[#This Row],[Green target threshold]]+Table1[[#This Row],[Green target threshold]]*0.5</f>
        <v>0</v>
      </c>
      <c r="M383" s="248"/>
      <c r="N383" s="248"/>
      <c r="O383" s="248"/>
      <c r="P383" s="248"/>
      <c r="Q383" s="248"/>
      <c r="R383" s="248"/>
      <c r="S383" s="248">
        <f>Table1[[#This Row],[Red target threshold]]-Table1[[#This Row],[Red target threshold]]*0.5</f>
        <v>0</v>
      </c>
      <c r="T383" s="248"/>
      <c r="U383" s="278"/>
    </row>
    <row r="384" spans="1:22" hidden="1" x14ac:dyDescent="0.25">
      <c r="A384" s="271"/>
      <c r="B384" s="173"/>
      <c r="C384" s="173"/>
      <c r="D384" s="173"/>
      <c r="E384" s="256"/>
      <c r="F384" s="257"/>
      <c r="G384" s="258"/>
      <c r="H384" s="305"/>
      <c r="I384" s="248"/>
      <c r="J384" s="248"/>
      <c r="K384" s="248"/>
      <c r="L384" s="248">
        <f>Table1[[#This Row],[Green target threshold]]+Table1[[#This Row],[Green target threshold]]*0.5</f>
        <v>0</v>
      </c>
      <c r="M384" s="248"/>
      <c r="N384" s="248"/>
      <c r="O384" s="248"/>
      <c r="P384" s="248"/>
      <c r="Q384" s="248"/>
      <c r="R384" s="248"/>
      <c r="S384" s="248">
        <f>Table1[[#This Row],[Red target threshold]]-Table1[[#This Row],[Red target threshold]]*0.5</f>
        <v>0</v>
      </c>
      <c r="T384" s="248"/>
      <c r="U384" s="278"/>
    </row>
    <row r="385" spans="1:23" hidden="1" x14ac:dyDescent="0.25">
      <c r="A385" s="271"/>
      <c r="B385" s="173"/>
      <c r="C385" s="173"/>
      <c r="D385" s="173"/>
      <c r="E385" s="256"/>
      <c r="F385" s="257"/>
      <c r="G385" s="258"/>
      <c r="H385" s="305"/>
      <c r="I385" s="248"/>
      <c r="J385" s="248"/>
      <c r="K385" s="248"/>
      <c r="L385" s="248">
        <f>Table1[[#This Row],[Green target threshold]]+Table1[[#This Row],[Green target threshold]]*0.5</f>
        <v>0</v>
      </c>
      <c r="M385" s="248"/>
      <c r="N385" s="248"/>
      <c r="O385" s="248"/>
      <c r="P385" s="248"/>
      <c r="Q385" s="248"/>
      <c r="R385" s="248"/>
      <c r="S385" s="248">
        <f>Table1[[#This Row],[Red target threshold]]-Table1[[#This Row],[Red target threshold]]*0.5</f>
        <v>0</v>
      </c>
      <c r="T385" s="248"/>
      <c r="U385" s="278"/>
    </row>
    <row r="386" spans="1:23" s="262" customFormat="1" hidden="1" x14ac:dyDescent="0.25">
      <c r="A386" s="293"/>
      <c r="B386" s="290"/>
      <c r="C386" s="290"/>
      <c r="D386" s="290"/>
      <c r="E386" s="290">
        <v>2015</v>
      </c>
      <c r="F386" s="290">
        <v>2016</v>
      </c>
      <c r="G386" s="290">
        <v>2017</v>
      </c>
      <c r="H386" s="290"/>
      <c r="I386" s="290"/>
      <c r="J386" s="290"/>
      <c r="K386" s="290"/>
      <c r="L386" s="290">
        <f>Table1[[#This Row],[Green target threshold]]+Table1[[#This Row],[Green target threshold]]*0.5</f>
        <v>0</v>
      </c>
      <c r="M386" s="290"/>
      <c r="N386" s="290"/>
      <c r="O386" s="290"/>
      <c r="P386" s="290"/>
      <c r="Q386" s="290"/>
      <c r="R386" s="290"/>
      <c r="S386" s="290">
        <f>Table1[[#This Row],[Red target threshold]]-Table1[[#This Row],[Red target threshold]]*0.5</f>
        <v>0</v>
      </c>
      <c r="T386" s="290"/>
      <c r="U386" s="297"/>
    </row>
    <row r="387" spans="1:23" x14ac:dyDescent="0.25">
      <c r="A387" s="302" t="s">
        <v>831</v>
      </c>
      <c r="B387" s="337" t="s">
        <v>830</v>
      </c>
      <c r="C387" s="337" t="s">
        <v>667</v>
      </c>
      <c r="D387" s="336" t="s">
        <v>799</v>
      </c>
      <c r="E387" s="304">
        <v>5.6833</v>
      </c>
      <c r="F387" s="304">
        <v>5.3004074074074081</v>
      </c>
      <c r="G387" s="304">
        <v>5.7963461538461543</v>
      </c>
      <c r="H387" s="305">
        <v>2017</v>
      </c>
      <c r="I387" s="305">
        <v>5.7963461538461543</v>
      </c>
      <c r="J387" s="305">
        <v>2015</v>
      </c>
      <c r="K387" s="295">
        <v>9.7214799999999997</v>
      </c>
      <c r="L387" s="295">
        <f>Table1[[#This Row],[Green target threshold]]-Table1[[#This Row],[Green target threshold]]*0.5</f>
        <v>3.4025179999999997</v>
      </c>
      <c r="M387" s="306">
        <f>Table1[[#This Row],[Model reference value]]+Table1[[#This Row],[Model reference value]]*Table1[[#This Row],[Improvement rate]]</f>
        <v>6.8050359999999994</v>
      </c>
      <c r="N387" s="306">
        <v>-0.3</v>
      </c>
      <c r="O387" s="305" t="s">
        <v>1140</v>
      </c>
      <c r="P387" s="305">
        <f>(M387-K387)*0.5+K387</f>
        <v>8.2632580000000004</v>
      </c>
      <c r="Q387" s="305">
        <f>K387</f>
        <v>9.7214799999999997</v>
      </c>
      <c r="R387" s="305">
        <f>K387</f>
        <v>9.7214799999999997</v>
      </c>
      <c r="S387" s="305">
        <f>Table1[[#This Row],[Red target threshold]]+Table1[[#This Row],[Red target threshold]]*0.5</f>
        <v>14.58222</v>
      </c>
      <c r="T387" s="305" t="s">
        <v>1042</v>
      </c>
      <c r="U387" s="303" t="s">
        <v>822</v>
      </c>
      <c r="V387" s="30" t="s">
        <v>823</v>
      </c>
    </row>
    <row r="388" spans="1:23" hidden="1" x14ac:dyDescent="0.25">
      <c r="A388" s="271"/>
      <c r="B388" s="173"/>
      <c r="C388" s="173"/>
      <c r="D388" s="252" t="s">
        <v>715</v>
      </c>
      <c r="E388" s="253">
        <v>58.088999999999999</v>
      </c>
      <c r="F388" s="254">
        <v>56.792999999999999</v>
      </c>
      <c r="G388" s="255">
        <v>57.323999999999998</v>
      </c>
      <c r="H388" s="305">
        <v>2017</v>
      </c>
      <c r="I388" s="248">
        <v>57.323999999999998</v>
      </c>
      <c r="J388" s="248"/>
      <c r="K388" s="248"/>
      <c r="L388" s="248">
        <f>Table1[[#This Row],[Green target threshold]]+Table1[[#This Row],[Green target threshold]]*0.5</f>
        <v>0</v>
      </c>
      <c r="M388" s="248"/>
      <c r="N388" s="248"/>
      <c r="O388" s="248"/>
      <c r="P388" s="248"/>
      <c r="Q388" s="248"/>
      <c r="R388" s="248"/>
      <c r="S388" s="248">
        <f>Table1[[#This Row],[Red target threshold]]-Table1[[#This Row],[Red target threshold]]*0.5</f>
        <v>0</v>
      </c>
      <c r="T388" s="248"/>
      <c r="U388" s="278"/>
    </row>
    <row r="389" spans="1:23" hidden="1" x14ac:dyDescent="0.25">
      <c r="A389" s="271"/>
      <c r="B389" s="173"/>
      <c r="C389" s="173"/>
      <c r="D389" s="252" t="s">
        <v>771</v>
      </c>
      <c r="E389" s="253">
        <v>41.774000000000001</v>
      </c>
      <c r="F389" s="254">
        <v>46.052999999999997</v>
      </c>
      <c r="G389" s="255">
        <v>45.892000000000003</v>
      </c>
      <c r="H389" s="305">
        <v>2017</v>
      </c>
      <c r="I389" s="248">
        <v>45.892000000000003</v>
      </c>
      <c r="J389" s="248"/>
      <c r="K389" s="248"/>
      <c r="L389" s="248">
        <f>Table1[[#This Row],[Green target threshold]]+Table1[[#This Row],[Green target threshold]]*0.5</f>
        <v>0</v>
      </c>
      <c r="M389" s="248"/>
      <c r="N389" s="248"/>
      <c r="O389" s="248"/>
      <c r="P389" s="248"/>
      <c r="Q389" s="248"/>
      <c r="R389" s="248"/>
      <c r="S389" s="248">
        <f>Table1[[#This Row],[Red target threshold]]-Table1[[#This Row],[Red target threshold]]*0.5</f>
        <v>0</v>
      </c>
      <c r="T389" s="248"/>
      <c r="U389" s="278"/>
    </row>
    <row r="390" spans="1:23" hidden="1" x14ac:dyDescent="0.25">
      <c r="A390" s="271"/>
      <c r="B390" s="173"/>
      <c r="C390" s="173"/>
      <c r="D390" s="252" t="s">
        <v>682</v>
      </c>
      <c r="E390" s="253">
        <v>8.4740000000000002</v>
      </c>
      <c r="F390" s="254">
        <v>7.7779999999999996</v>
      </c>
      <c r="G390" s="255">
        <v>9.1319999999999997</v>
      </c>
      <c r="H390" s="305">
        <v>2017</v>
      </c>
      <c r="I390" s="248">
        <v>9.1319999999999997</v>
      </c>
      <c r="J390" s="248"/>
      <c r="K390" s="248"/>
      <c r="L390" s="248">
        <f>Table1[[#This Row],[Green target threshold]]+Table1[[#This Row],[Green target threshold]]*0.5</f>
        <v>0</v>
      </c>
      <c r="M390" s="248"/>
      <c r="N390" s="248"/>
      <c r="O390" s="248"/>
      <c r="P390" s="248"/>
      <c r="Q390" s="248"/>
      <c r="R390" s="248"/>
      <c r="S390" s="248">
        <f>Table1[[#This Row],[Red target threshold]]-Table1[[#This Row],[Red target threshold]]*0.5</f>
        <v>0</v>
      </c>
      <c r="T390" s="248"/>
      <c r="U390" s="278"/>
    </row>
    <row r="391" spans="1:23" hidden="1" x14ac:dyDescent="0.25">
      <c r="A391" s="271"/>
      <c r="B391" s="173"/>
      <c r="C391" s="173"/>
      <c r="D391" s="252" t="s">
        <v>832</v>
      </c>
      <c r="E391" s="253">
        <v>6.2329999999999997</v>
      </c>
      <c r="F391" s="254">
        <v>8.7780000000000005</v>
      </c>
      <c r="G391" s="255">
        <v>9.0090000000000003</v>
      </c>
      <c r="H391" s="305">
        <v>2017</v>
      </c>
      <c r="I391" s="248">
        <v>9.0090000000000003</v>
      </c>
      <c r="J391" s="248"/>
      <c r="K391" s="248"/>
      <c r="L391" s="248">
        <f>Table1[[#This Row],[Green target threshold]]+Table1[[#This Row],[Green target threshold]]*0.5</f>
        <v>0</v>
      </c>
      <c r="M391" s="248"/>
      <c r="N391" s="248"/>
      <c r="O391" s="248"/>
      <c r="P391" s="248"/>
      <c r="Q391" s="248"/>
      <c r="R391" s="248"/>
      <c r="S391" s="248">
        <f>Table1[[#This Row],[Red target threshold]]-Table1[[#This Row],[Red target threshold]]*0.5</f>
        <v>0</v>
      </c>
      <c r="T391" s="248"/>
      <c r="U391" s="278"/>
    </row>
    <row r="392" spans="1:23" hidden="1" x14ac:dyDescent="0.25">
      <c r="A392" s="271"/>
      <c r="B392" s="173"/>
      <c r="C392" s="173"/>
      <c r="D392" s="252" t="s">
        <v>669</v>
      </c>
      <c r="E392" s="253">
        <v>4</v>
      </c>
      <c r="F392" s="254">
        <v>4</v>
      </c>
      <c r="G392" s="255">
        <v>6</v>
      </c>
      <c r="H392" s="305">
        <v>2017</v>
      </c>
      <c r="I392" s="248">
        <v>6</v>
      </c>
      <c r="J392" s="248"/>
      <c r="K392" s="248"/>
      <c r="L392" s="248">
        <f>Table1[[#This Row],[Green target threshold]]+Table1[[#This Row],[Green target threshold]]*0.5</f>
        <v>0</v>
      </c>
      <c r="M392" s="248"/>
      <c r="N392" s="248"/>
      <c r="O392" s="248"/>
      <c r="P392" s="248"/>
      <c r="Q392" s="248"/>
      <c r="R392" s="248"/>
      <c r="S392" s="248">
        <f>Table1[[#This Row],[Red target threshold]]-Table1[[#This Row],[Red target threshold]]*0.5</f>
        <v>0</v>
      </c>
      <c r="T392" s="248"/>
      <c r="U392" s="278"/>
    </row>
    <row r="393" spans="1:23" hidden="1" x14ac:dyDescent="0.25">
      <c r="A393" s="271"/>
      <c r="B393" s="173"/>
      <c r="C393" s="173"/>
      <c r="D393" s="252" t="s">
        <v>772</v>
      </c>
      <c r="E393" s="256">
        <v>0.192</v>
      </c>
      <c r="F393" s="257">
        <v>-0.19700000000000001</v>
      </c>
      <c r="G393" s="258">
        <v>-0.57399999999999995</v>
      </c>
      <c r="H393" s="305">
        <v>2017</v>
      </c>
      <c r="I393" s="248">
        <v>-0.57399999999999995</v>
      </c>
      <c r="J393" s="248"/>
      <c r="K393" s="248"/>
      <c r="L393" s="248">
        <f>Table1[[#This Row],[Green target threshold]]+Table1[[#This Row],[Green target threshold]]*0.5</f>
        <v>0</v>
      </c>
      <c r="M393" s="248"/>
      <c r="N393" s="248"/>
      <c r="O393" s="248"/>
      <c r="P393" s="248"/>
      <c r="Q393" s="248"/>
      <c r="R393" s="248"/>
      <c r="S393" s="248">
        <f>Table1[[#This Row],[Red target threshold]]-Table1[[#This Row],[Red target threshold]]*0.5</f>
        <v>0</v>
      </c>
      <c r="T393" s="248"/>
      <c r="U393" s="278"/>
    </row>
    <row r="394" spans="1:23" hidden="1" x14ac:dyDescent="0.25">
      <c r="A394" s="271"/>
      <c r="B394" s="173"/>
      <c r="C394" s="173"/>
      <c r="D394" s="252" t="s">
        <v>824</v>
      </c>
      <c r="E394" s="256">
        <v>-1</v>
      </c>
      <c r="F394" s="257">
        <v>-4</v>
      </c>
      <c r="G394" s="258">
        <v>-1</v>
      </c>
      <c r="H394" s="305">
        <v>2017</v>
      </c>
      <c r="I394" s="248">
        <v>-1</v>
      </c>
      <c r="J394" s="248"/>
      <c r="K394" s="248"/>
      <c r="L394" s="248">
        <f>Table1[[#This Row],[Green target threshold]]+Table1[[#This Row],[Green target threshold]]*0.5</f>
        <v>0</v>
      </c>
      <c r="M394" s="248"/>
      <c r="N394" s="248"/>
      <c r="O394" s="248"/>
      <c r="P394" s="248"/>
      <c r="Q394" s="248"/>
      <c r="R394" s="248"/>
      <c r="S394" s="248">
        <f>Table1[[#This Row],[Red target threshold]]-Table1[[#This Row],[Red target threshold]]*0.5</f>
        <v>0</v>
      </c>
      <c r="T394" s="248"/>
      <c r="U394" s="278"/>
    </row>
    <row r="395" spans="1:23" hidden="1" x14ac:dyDescent="0.25">
      <c r="A395" s="271"/>
      <c r="B395" s="173"/>
      <c r="C395" s="173"/>
      <c r="D395" s="252" t="s">
        <v>720</v>
      </c>
      <c r="E395" s="256">
        <v>-2</v>
      </c>
      <c r="F395" s="257">
        <v>-3</v>
      </c>
      <c r="G395" s="258">
        <v>-5</v>
      </c>
      <c r="H395" s="305">
        <v>2017</v>
      </c>
      <c r="I395" s="248">
        <v>-5</v>
      </c>
      <c r="J395" s="248"/>
      <c r="K395" s="248"/>
      <c r="L395" s="248">
        <f>Table1[[#This Row],[Green target threshold]]+Table1[[#This Row],[Green target threshold]]*0.5</f>
        <v>0</v>
      </c>
      <c r="M395" s="248"/>
      <c r="N395" s="248"/>
      <c r="O395" s="248"/>
      <c r="P395" s="248"/>
      <c r="Q395" s="248"/>
      <c r="R395" s="248"/>
      <c r="S395" s="248">
        <f>Table1[[#This Row],[Red target threshold]]-Table1[[#This Row],[Red target threshold]]*0.5</f>
        <v>0</v>
      </c>
      <c r="T395" s="248"/>
      <c r="U395" s="278"/>
    </row>
    <row r="396" spans="1:23" hidden="1" x14ac:dyDescent="0.25">
      <c r="A396" s="271"/>
      <c r="B396" s="173"/>
      <c r="C396" s="173"/>
      <c r="D396" s="252" t="s">
        <v>827</v>
      </c>
      <c r="E396" s="256">
        <v>-1</v>
      </c>
      <c r="F396" s="257">
        <v>-3</v>
      </c>
      <c r="G396" s="258">
        <v>-5</v>
      </c>
      <c r="H396" s="305">
        <v>2017</v>
      </c>
      <c r="I396" s="248">
        <v>-5</v>
      </c>
      <c r="J396" s="248"/>
      <c r="K396" s="248"/>
      <c r="L396" s="248">
        <f>Table1[[#This Row],[Green target threshold]]+Table1[[#This Row],[Green target threshold]]*0.5</f>
        <v>0</v>
      </c>
      <c r="M396" s="248"/>
      <c r="N396" s="248"/>
      <c r="O396" s="248"/>
      <c r="P396" s="248"/>
      <c r="Q396" s="248"/>
      <c r="R396" s="248"/>
      <c r="S396" s="248">
        <f>Table1[[#This Row],[Red target threshold]]-Table1[[#This Row],[Red target threshold]]*0.5</f>
        <v>0</v>
      </c>
      <c r="T396" s="248"/>
      <c r="U396" s="278"/>
    </row>
    <row r="397" spans="1:23" hidden="1" x14ac:dyDescent="0.25">
      <c r="A397" s="271"/>
      <c r="B397" s="173"/>
      <c r="C397" s="173"/>
      <c r="D397" s="252" t="s">
        <v>833</v>
      </c>
      <c r="E397" s="256">
        <v>-5</v>
      </c>
      <c r="F397" s="257">
        <v>-7</v>
      </c>
      <c r="G397" s="258">
        <v>-6</v>
      </c>
      <c r="H397" s="305">
        <v>2017</v>
      </c>
      <c r="I397" s="248">
        <v>-6</v>
      </c>
      <c r="J397" s="248"/>
      <c r="K397" s="248"/>
      <c r="L397" s="248">
        <f>Table1[[#This Row],[Green target threshold]]+Table1[[#This Row],[Green target threshold]]*0.5</f>
        <v>0</v>
      </c>
      <c r="M397" s="248"/>
      <c r="N397" s="248"/>
      <c r="O397" s="248"/>
      <c r="P397" s="248"/>
      <c r="Q397" s="248"/>
      <c r="R397" s="248"/>
      <c r="S397" s="248">
        <f>Table1[[#This Row],[Red target threshold]]-Table1[[#This Row],[Red target threshold]]*0.5</f>
        <v>0</v>
      </c>
      <c r="T397" s="248"/>
      <c r="U397" s="278"/>
    </row>
    <row r="398" spans="1:23" s="262" customFormat="1" hidden="1" x14ac:dyDescent="0.25">
      <c r="A398" s="293"/>
      <c r="B398" s="290"/>
      <c r="C398" s="290"/>
      <c r="D398" s="290"/>
      <c r="E398" s="291">
        <v>2012</v>
      </c>
      <c r="F398" s="291">
        <v>2013</v>
      </c>
      <c r="G398" s="291">
        <v>2014</v>
      </c>
      <c r="H398" s="291"/>
      <c r="I398" s="291"/>
      <c r="J398" s="291"/>
      <c r="K398" s="291"/>
      <c r="L398" s="291">
        <f>Table1[[#This Row],[Green target threshold]]+Table1[[#This Row],[Green target threshold]]*0.5</f>
        <v>0</v>
      </c>
      <c r="M398" s="291"/>
      <c r="N398" s="291"/>
      <c r="O398" s="291"/>
      <c r="P398" s="291"/>
      <c r="Q398" s="291"/>
      <c r="R398" s="291"/>
      <c r="S398" s="291">
        <f>Table1[[#This Row],[Red target threshold]]-Table1[[#This Row],[Red target threshold]]*0.5</f>
        <v>0</v>
      </c>
      <c r="T398" s="291"/>
      <c r="U398" s="297"/>
    </row>
    <row r="399" spans="1:23" hidden="1" x14ac:dyDescent="0.25">
      <c r="A399" s="302" t="s">
        <v>608</v>
      </c>
      <c r="B399" s="438" t="s">
        <v>1136</v>
      </c>
      <c r="C399" s="337" t="s">
        <v>1137</v>
      </c>
      <c r="D399" s="336" t="s">
        <v>904</v>
      </c>
      <c r="E399" s="420">
        <v>393.01599270000003</v>
      </c>
      <c r="F399" s="420">
        <v>395.72497929999997</v>
      </c>
      <c r="G399" s="420">
        <v>397.5469769</v>
      </c>
      <c r="H399" s="305">
        <v>2014</v>
      </c>
      <c r="I399" s="305">
        <v>397.5469769</v>
      </c>
      <c r="J399" s="305">
        <v>2015</v>
      </c>
      <c r="K399" s="430">
        <v>403.03300000000002</v>
      </c>
      <c r="L399" s="430">
        <f>Table1[[#This Row],[Green target threshold]]-Table1[[#This Row],[Green target threshold]]*0.5</f>
        <v>208.8400294117647</v>
      </c>
      <c r="M399" s="430">
        <f>Table1[[#This Row],[Model reference value]]+((480-397)/85)*15</f>
        <v>417.68005882352941</v>
      </c>
      <c r="N399" s="430"/>
      <c r="O399" s="430" t="s">
        <v>985</v>
      </c>
      <c r="P399" s="430">
        <f>Table1[[#This Row],[Model reference value]]+((580-403)/85)*15</f>
        <v>434.26829411764709</v>
      </c>
      <c r="Q399" s="430">
        <f>Table1[[#This Row],[Model reference value]]+((650-403)/85)*15</f>
        <v>446.62123529411764</v>
      </c>
      <c r="R399" s="430">
        <f>Table1[[#This Row],[Model reference value]]+((650-403)/85)*15</f>
        <v>446.62123529411764</v>
      </c>
      <c r="S399" s="430">
        <f>Table1[[#This Row],[Red target threshold]]+Table1[[#This Row],[Red target threshold]]*0.5</f>
        <v>669.93185294117643</v>
      </c>
      <c r="T399" s="430" t="s">
        <v>1138</v>
      </c>
      <c r="U399" s="295"/>
      <c r="V399" s="251" t="s">
        <v>873</v>
      </c>
      <c r="W399" s="251" t="s">
        <v>874</v>
      </c>
    </row>
    <row r="400" spans="1:23" hidden="1" x14ac:dyDescent="0.25">
      <c r="A400" s="271"/>
      <c r="B400" s="173"/>
      <c r="C400" s="173"/>
      <c r="D400" s="197"/>
      <c r="E400" s="253"/>
      <c r="F400" s="254"/>
      <c r="G400" s="255"/>
      <c r="H400" s="248"/>
      <c r="I400" s="248"/>
      <c r="J400" s="248"/>
      <c r="K400" s="248"/>
      <c r="L400" s="329">
        <f>Table1[[#This Row],[Green target threshold]]+Table1[[#This Row],[Green target threshold]]*0.5</f>
        <v>0</v>
      </c>
      <c r="M400" s="248"/>
      <c r="N400" s="248"/>
      <c r="O400" s="248"/>
      <c r="P400" s="329"/>
      <c r="Q400" s="329"/>
      <c r="R400" s="329"/>
      <c r="S400" s="329">
        <f>Table1[[#This Row],[Red target threshold]]-Table1[[#This Row],[Red target threshold]]*0.5</f>
        <v>0</v>
      </c>
      <c r="T400" s="248"/>
      <c r="U400" s="278"/>
      <c r="V400" s="251"/>
      <c r="W400" s="251"/>
    </row>
    <row r="401" spans="1:24" hidden="1" x14ac:dyDescent="0.25">
      <c r="A401" s="271"/>
      <c r="B401" s="173"/>
      <c r="C401" s="173"/>
      <c r="D401" s="197"/>
      <c r="E401" s="253"/>
      <c r="F401" s="254"/>
      <c r="G401" s="255"/>
      <c r="H401" s="248"/>
      <c r="I401" s="248"/>
      <c r="J401" s="248"/>
      <c r="K401" s="248"/>
      <c r="L401" s="329">
        <f>Table1[[#This Row],[Green target threshold]]+Table1[[#This Row],[Green target threshold]]*0.5</f>
        <v>0</v>
      </c>
      <c r="M401" s="248"/>
      <c r="N401" s="248"/>
      <c r="O401" s="248"/>
      <c r="P401" s="329"/>
      <c r="Q401" s="329"/>
      <c r="R401" s="329"/>
      <c r="S401" s="329">
        <f>Table1[[#This Row],[Red target threshold]]-Table1[[#This Row],[Red target threshold]]*0.5</f>
        <v>0</v>
      </c>
      <c r="T401" s="248"/>
      <c r="U401" s="278"/>
      <c r="V401" s="251"/>
      <c r="W401" s="251"/>
    </row>
    <row r="402" spans="1:24" hidden="1" x14ac:dyDescent="0.25">
      <c r="A402" s="271"/>
      <c r="B402" s="173"/>
      <c r="C402" s="173"/>
      <c r="D402" s="197"/>
      <c r="E402" s="253"/>
      <c r="F402" s="254"/>
      <c r="G402" s="255"/>
      <c r="H402" s="248"/>
      <c r="I402" s="248"/>
      <c r="J402" s="248"/>
      <c r="K402" s="248"/>
      <c r="L402" s="329">
        <f>Table1[[#This Row],[Green target threshold]]+Table1[[#This Row],[Green target threshold]]*0.5</f>
        <v>0</v>
      </c>
      <c r="M402" s="248"/>
      <c r="N402" s="248"/>
      <c r="O402" s="248"/>
      <c r="P402" s="329"/>
      <c r="Q402" s="329"/>
      <c r="R402" s="329"/>
      <c r="S402" s="329">
        <f>Table1[[#This Row],[Red target threshold]]-Table1[[#This Row],[Red target threshold]]*0.5</f>
        <v>0</v>
      </c>
      <c r="T402" s="248"/>
      <c r="U402" s="278"/>
      <c r="V402" s="251"/>
      <c r="W402" s="251"/>
    </row>
    <row r="403" spans="1:24" hidden="1" x14ac:dyDescent="0.25">
      <c r="A403" s="271"/>
      <c r="B403" s="173"/>
      <c r="C403" s="173"/>
      <c r="D403" s="197"/>
      <c r="E403" s="253"/>
      <c r="F403" s="254"/>
      <c r="G403" s="255"/>
      <c r="H403" s="248"/>
      <c r="I403" s="248"/>
      <c r="J403" s="248"/>
      <c r="K403" s="248"/>
      <c r="L403" s="329">
        <f>Table1[[#This Row],[Green target threshold]]+Table1[[#This Row],[Green target threshold]]*0.5</f>
        <v>0</v>
      </c>
      <c r="M403" s="248"/>
      <c r="N403" s="248"/>
      <c r="O403" s="248"/>
      <c r="P403" s="329"/>
      <c r="Q403" s="329"/>
      <c r="R403" s="329"/>
      <c r="S403" s="329">
        <f>Table1[[#This Row],[Red target threshold]]-Table1[[#This Row],[Red target threshold]]*0.5</f>
        <v>0</v>
      </c>
      <c r="T403" s="248"/>
      <c r="U403" s="278"/>
      <c r="V403" s="251">
        <v>1</v>
      </c>
      <c r="W403" s="251"/>
    </row>
    <row r="404" spans="1:24" hidden="1" x14ac:dyDescent="0.25">
      <c r="A404" s="271"/>
      <c r="B404" s="173"/>
      <c r="C404" s="173"/>
      <c r="D404" s="197"/>
      <c r="E404" s="253"/>
      <c r="F404" s="254"/>
      <c r="G404" s="255"/>
      <c r="H404" s="248"/>
      <c r="I404" s="248"/>
      <c r="J404" s="248"/>
      <c r="K404" s="248"/>
      <c r="L404" s="329">
        <f>Table1[[#This Row],[Green target threshold]]+Table1[[#This Row],[Green target threshold]]*0.5</f>
        <v>0</v>
      </c>
      <c r="M404" s="248"/>
      <c r="N404" s="248"/>
      <c r="O404" s="248"/>
      <c r="P404" s="329"/>
      <c r="Q404" s="329"/>
      <c r="R404" s="329"/>
      <c r="S404" s="329">
        <f>Table1[[#This Row],[Red target threshold]]-Table1[[#This Row],[Red target threshold]]*0.5</f>
        <v>0</v>
      </c>
      <c r="T404" s="248"/>
      <c r="U404" s="278"/>
      <c r="V404" s="251">
        <v>0.60641100000000003</v>
      </c>
      <c r="W404" s="251"/>
      <c r="X404" s="30">
        <f>1/0.606411</f>
        <v>1.6490466037060671</v>
      </c>
    </row>
    <row r="405" spans="1:24" hidden="1" x14ac:dyDescent="0.25">
      <c r="A405" s="271"/>
      <c r="B405" s="173"/>
      <c r="C405" s="173"/>
      <c r="D405" s="197"/>
      <c r="E405" s="256"/>
      <c r="F405" s="257"/>
      <c r="G405" s="258"/>
      <c r="H405" s="248"/>
      <c r="I405" s="248"/>
      <c r="J405" s="248"/>
      <c r="K405" s="248"/>
      <c r="L405" s="329">
        <f>Table1[[#This Row],[Green target threshold]]+Table1[[#This Row],[Green target threshold]]*0.5</f>
        <v>0</v>
      </c>
      <c r="M405" s="248"/>
      <c r="N405" s="248"/>
      <c r="O405" s="248"/>
      <c r="P405" s="329"/>
      <c r="Q405" s="329"/>
      <c r="R405" s="329"/>
      <c r="S405" s="329">
        <f>Table1[[#This Row],[Red target threshold]]-Table1[[#This Row],[Red target threshold]]*0.5</f>
        <v>0</v>
      </c>
      <c r="T405" s="248"/>
      <c r="U405" s="278"/>
      <c r="V405" s="251"/>
      <c r="W405" s="251"/>
    </row>
    <row r="406" spans="1:24" hidden="1" x14ac:dyDescent="0.25">
      <c r="A406" s="271"/>
      <c r="B406" s="173"/>
      <c r="C406" s="173"/>
      <c r="D406" s="197"/>
      <c r="E406" s="256"/>
      <c r="F406" s="257"/>
      <c r="G406" s="258"/>
      <c r="H406" s="248"/>
      <c r="I406" s="248"/>
      <c r="J406" s="248"/>
      <c r="K406" s="248"/>
      <c r="L406" s="329">
        <f>Table1[[#This Row],[Green target threshold]]+Table1[[#This Row],[Green target threshold]]*0.5</f>
        <v>0</v>
      </c>
      <c r="M406" s="248"/>
      <c r="N406" s="248"/>
      <c r="O406" s="248"/>
      <c r="P406" s="329"/>
      <c r="Q406" s="329"/>
      <c r="R406" s="329"/>
      <c r="S406" s="329">
        <f>Table1[[#This Row],[Red target threshold]]-Table1[[#This Row],[Red target threshold]]*0.5</f>
        <v>0</v>
      </c>
      <c r="T406" s="248"/>
      <c r="U406" s="278"/>
      <c r="V406" s="251"/>
      <c r="W406" s="251"/>
    </row>
    <row r="407" spans="1:24" hidden="1" x14ac:dyDescent="0.25">
      <c r="A407" s="271"/>
      <c r="B407" s="173"/>
      <c r="C407" s="173"/>
      <c r="D407" s="197"/>
      <c r="E407" s="256"/>
      <c r="F407" s="257"/>
      <c r="G407" s="258"/>
      <c r="H407" s="248"/>
      <c r="I407" s="248"/>
      <c r="J407" s="248"/>
      <c r="K407" s="248"/>
      <c r="L407" s="329">
        <f>Table1[[#This Row],[Green target threshold]]+Table1[[#This Row],[Green target threshold]]*0.5</f>
        <v>0</v>
      </c>
      <c r="M407" s="248"/>
      <c r="N407" s="248"/>
      <c r="O407" s="248"/>
      <c r="P407" s="329"/>
      <c r="Q407" s="329"/>
      <c r="R407" s="329"/>
      <c r="S407" s="329">
        <f>Table1[[#This Row],[Red target threshold]]-Table1[[#This Row],[Red target threshold]]*0.5</f>
        <v>0</v>
      </c>
      <c r="T407" s="248"/>
      <c r="U407" s="278"/>
      <c r="V407" s="251"/>
      <c r="W407" s="251"/>
    </row>
    <row r="408" spans="1:24" hidden="1" x14ac:dyDescent="0.25">
      <c r="A408" s="271"/>
      <c r="B408" s="173"/>
      <c r="C408" s="173"/>
      <c r="D408" s="197"/>
      <c r="E408" s="256"/>
      <c r="F408" s="257"/>
      <c r="G408" s="258"/>
      <c r="H408" s="248"/>
      <c r="I408" s="248"/>
      <c r="J408" s="248"/>
      <c r="K408" s="248"/>
      <c r="L408" s="329">
        <f>Table1[[#This Row],[Green target threshold]]+Table1[[#This Row],[Green target threshold]]*0.5</f>
        <v>0</v>
      </c>
      <c r="M408" s="248"/>
      <c r="N408" s="248"/>
      <c r="O408" s="248"/>
      <c r="P408" s="329"/>
      <c r="Q408" s="329"/>
      <c r="R408" s="329"/>
      <c r="S408" s="329">
        <f>Table1[[#This Row],[Red target threshold]]-Table1[[#This Row],[Red target threshold]]*0.5</f>
        <v>0</v>
      </c>
      <c r="T408" s="248"/>
      <c r="U408" s="278"/>
      <c r="V408" s="251"/>
      <c r="W408" s="251"/>
    </row>
    <row r="409" spans="1:24" hidden="1" x14ac:dyDescent="0.25">
      <c r="A409" s="271"/>
      <c r="B409" s="173"/>
      <c r="C409" s="173"/>
      <c r="D409" s="197"/>
      <c r="E409" s="256"/>
      <c r="F409" s="257"/>
      <c r="G409" s="258"/>
      <c r="H409" s="248"/>
      <c r="I409" s="248"/>
      <c r="J409" s="248"/>
      <c r="K409" s="248"/>
      <c r="L409" s="329">
        <f>Table1[[#This Row],[Green target threshold]]+Table1[[#This Row],[Green target threshold]]*0.5</f>
        <v>0</v>
      </c>
      <c r="M409" s="248"/>
      <c r="N409" s="248"/>
      <c r="O409" s="248"/>
      <c r="P409" s="329"/>
      <c r="Q409" s="329"/>
      <c r="R409" s="329"/>
      <c r="S409" s="329">
        <f>Table1[[#This Row],[Red target threshold]]-Table1[[#This Row],[Red target threshold]]*0.5</f>
        <v>0</v>
      </c>
      <c r="T409" s="248"/>
      <c r="U409" s="278"/>
      <c r="V409" s="251"/>
      <c r="W409" s="251"/>
    </row>
    <row r="410" spans="1:24" hidden="1" x14ac:dyDescent="0.25">
      <c r="A410" s="293"/>
      <c r="B410" s="290"/>
      <c r="C410" s="290"/>
      <c r="D410" s="290"/>
      <c r="E410" s="291">
        <v>2015</v>
      </c>
      <c r="F410" s="291">
        <v>2016</v>
      </c>
      <c r="G410" s="291">
        <v>2017</v>
      </c>
      <c r="H410" s="291"/>
      <c r="I410" s="291"/>
      <c r="J410" s="291"/>
      <c r="K410" s="291"/>
      <c r="L410" s="291">
        <f>Table1[[#This Row],[Green target threshold]]+Table1[[#This Row],[Green target threshold]]*0.5</f>
        <v>0</v>
      </c>
      <c r="M410" s="291"/>
      <c r="N410" s="291"/>
      <c r="O410" s="291"/>
      <c r="P410" s="291"/>
      <c r="Q410" s="291"/>
      <c r="R410" s="291"/>
      <c r="S410" s="291">
        <f>Table1[[#This Row],[Red target threshold]]-Table1[[#This Row],[Red target threshold]]*0.5</f>
        <v>0</v>
      </c>
      <c r="T410" s="291"/>
      <c r="U410" s="297"/>
      <c r="V410" s="251"/>
      <c r="W410" s="251"/>
    </row>
    <row r="411" spans="1:24" x14ac:dyDescent="0.25">
      <c r="A411" s="302" t="s">
        <v>1102</v>
      </c>
      <c r="B411" s="337" t="s">
        <v>1107</v>
      </c>
      <c r="C411" s="337" t="s">
        <v>1101</v>
      </c>
      <c r="D411" s="336" t="s">
        <v>904</v>
      </c>
      <c r="E411" s="304">
        <v>4211322924.72716</v>
      </c>
      <c r="F411" s="304">
        <v>3473456846.8239088</v>
      </c>
      <c r="G411" s="304">
        <v>3473456846.8239088</v>
      </c>
      <c r="H411" s="305">
        <v>2017</v>
      </c>
      <c r="I411" s="305">
        <v>3473456846.8239088</v>
      </c>
      <c r="J411" s="305">
        <v>2015</v>
      </c>
      <c r="K411" s="295">
        <f>4.48117*1000000000</f>
        <v>4481170000</v>
      </c>
      <c r="L411" s="295">
        <f>Table1[[#This Row],[Green target threshold]]-Table1[[#This Row],[Green target threshold]]*0.5</f>
        <v>1792468000</v>
      </c>
      <c r="M411" s="305">
        <f>Table1[[#This Row],[Model reference value]]+Table1[[#This Row],[Model reference value]]*Table1[[#This Row],[Improvement rate]]</f>
        <v>3584936000</v>
      </c>
      <c r="N411" s="305">
        <v>-0.2</v>
      </c>
      <c r="O411" s="305" t="s">
        <v>1140</v>
      </c>
      <c r="P411" s="305">
        <f>(M411-K411)*0.5+K411</f>
        <v>4033053000</v>
      </c>
      <c r="Q411" s="305">
        <f>K411</f>
        <v>4481170000</v>
      </c>
      <c r="R411" s="305">
        <f>K411</f>
        <v>4481170000</v>
      </c>
      <c r="S411" s="305">
        <f>Table1[[#This Row],[Red target threshold]]+Table1[[#This Row],[Red target threshold]]*0.5</f>
        <v>6721755000</v>
      </c>
      <c r="T411" s="305"/>
      <c r="U411" s="176" t="s">
        <v>1103</v>
      </c>
      <c r="V411" s="251"/>
      <c r="W411" s="251"/>
    </row>
    <row r="412" spans="1:24" hidden="1" x14ac:dyDescent="0.25">
      <c r="A412" s="271"/>
      <c r="B412" s="173"/>
      <c r="C412" s="173"/>
      <c r="D412" s="173"/>
      <c r="E412" s="253"/>
      <c r="F412" s="254"/>
      <c r="G412" s="255"/>
      <c r="H412" s="305"/>
      <c r="I412" s="248"/>
      <c r="J412" s="248"/>
      <c r="K412" s="248"/>
      <c r="L412" s="248"/>
      <c r="M412" s="248"/>
      <c r="N412" s="248"/>
      <c r="O412" s="248"/>
      <c r="P412" s="248"/>
      <c r="Q412" s="248"/>
      <c r="R412" s="248"/>
      <c r="S412" s="248"/>
      <c r="T412" s="248"/>
      <c r="U412" s="278"/>
      <c r="V412" s="251"/>
      <c r="W412" s="251"/>
    </row>
    <row r="413" spans="1:24" hidden="1" x14ac:dyDescent="0.25">
      <c r="A413" s="271"/>
      <c r="B413" s="173"/>
      <c r="C413" s="173"/>
      <c r="D413" s="173"/>
      <c r="E413" s="253"/>
      <c r="F413" s="254"/>
      <c r="G413" s="255"/>
      <c r="H413" s="305"/>
      <c r="I413" s="248"/>
      <c r="J413" s="248"/>
      <c r="K413" s="248"/>
      <c r="L413" s="248"/>
      <c r="M413" s="248"/>
      <c r="N413" s="248"/>
      <c r="O413" s="248"/>
      <c r="P413" s="248"/>
      <c r="Q413" s="248"/>
      <c r="R413" s="248"/>
      <c r="S413" s="248"/>
      <c r="T413" s="248"/>
      <c r="U413" s="278"/>
      <c r="V413" s="251"/>
      <c r="W413" s="251"/>
    </row>
    <row r="414" spans="1:24" hidden="1" x14ac:dyDescent="0.25">
      <c r="A414" s="271"/>
      <c r="B414" s="173"/>
      <c r="C414" s="173"/>
      <c r="D414" s="173"/>
      <c r="E414" s="253"/>
      <c r="F414" s="254"/>
      <c r="G414" s="255"/>
      <c r="H414" s="305"/>
      <c r="I414" s="248"/>
      <c r="J414" s="248"/>
      <c r="K414" s="248"/>
      <c r="L414" s="248"/>
      <c r="M414" s="248"/>
      <c r="N414" s="248"/>
      <c r="O414" s="248"/>
      <c r="P414" s="248"/>
      <c r="Q414" s="248"/>
      <c r="R414" s="248"/>
      <c r="S414" s="248"/>
      <c r="T414" s="248"/>
      <c r="U414" s="278"/>
      <c r="V414" s="251"/>
      <c r="W414" s="251"/>
    </row>
    <row r="415" spans="1:24" hidden="1" x14ac:dyDescent="0.25">
      <c r="A415" s="271"/>
      <c r="B415" s="173"/>
      <c r="C415" s="173"/>
      <c r="D415" s="173"/>
      <c r="E415" s="253"/>
      <c r="F415" s="254"/>
      <c r="G415" s="255"/>
      <c r="H415" s="305"/>
      <c r="I415" s="248"/>
      <c r="J415" s="248"/>
      <c r="K415" s="248"/>
      <c r="L415" s="248"/>
      <c r="M415" s="248"/>
      <c r="N415" s="248"/>
      <c r="O415" s="248"/>
      <c r="P415" s="248"/>
      <c r="Q415" s="248"/>
      <c r="R415" s="248"/>
      <c r="S415" s="248"/>
      <c r="T415" s="248"/>
      <c r="U415" s="278"/>
      <c r="V415" s="251"/>
      <c r="W415" s="251"/>
    </row>
    <row r="416" spans="1:24" hidden="1" x14ac:dyDescent="0.25">
      <c r="A416" s="271"/>
      <c r="B416" s="173"/>
      <c r="C416" s="173"/>
      <c r="D416" s="173"/>
      <c r="E416" s="253"/>
      <c r="F416" s="254"/>
      <c r="G416" s="255"/>
      <c r="H416" s="305"/>
      <c r="I416" s="248"/>
      <c r="J416" s="248"/>
      <c r="K416" s="248"/>
      <c r="L416" s="248"/>
      <c r="M416" s="248"/>
      <c r="N416" s="248"/>
      <c r="O416" s="248"/>
      <c r="P416" s="248"/>
      <c r="Q416" s="248"/>
      <c r="R416" s="248"/>
      <c r="S416" s="248"/>
      <c r="T416" s="248"/>
      <c r="U416" s="278"/>
      <c r="V416" s="251"/>
      <c r="W416" s="251"/>
    </row>
    <row r="417" spans="1:23" hidden="1" x14ac:dyDescent="0.25">
      <c r="A417" s="271"/>
      <c r="B417" s="173"/>
      <c r="C417" s="173"/>
      <c r="D417" s="173"/>
      <c r="E417" s="256"/>
      <c r="F417" s="257"/>
      <c r="G417" s="258"/>
      <c r="H417" s="305"/>
      <c r="I417" s="248"/>
      <c r="J417" s="248"/>
      <c r="K417" s="248"/>
      <c r="L417" s="248"/>
      <c r="M417" s="248"/>
      <c r="N417" s="248"/>
      <c r="O417" s="248"/>
      <c r="P417" s="248"/>
      <c r="Q417" s="248"/>
      <c r="R417" s="248"/>
      <c r="S417" s="248"/>
      <c r="T417" s="248"/>
      <c r="U417" s="278"/>
      <c r="V417" s="251"/>
      <c r="W417" s="251"/>
    </row>
    <row r="418" spans="1:23" hidden="1" x14ac:dyDescent="0.25">
      <c r="A418" s="271"/>
      <c r="B418" s="173"/>
      <c r="C418" s="173"/>
      <c r="D418" s="173"/>
      <c r="E418" s="256"/>
      <c r="F418" s="257"/>
      <c r="G418" s="258"/>
      <c r="H418" s="305"/>
      <c r="I418" s="248"/>
      <c r="J418" s="248"/>
      <c r="K418" s="248"/>
      <c r="L418" s="248"/>
      <c r="M418" s="248"/>
      <c r="N418" s="248"/>
      <c r="O418" s="248"/>
      <c r="P418" s="248"/>
      <c r="Q418" s="248"/>
      <c r="R418" s="248"/>
      <c r="S418" s="248"/>
      <c r="T418" s="248"/>
      <c r="U418" s="278"/>
      <c r="V418" s="251"/>
      <c r="W418" s="251"/>
    </row>
    <row r="419" spans="1:23" hidden="1" x14ac:dyDescent="0.25">
      <c r="A419" s="271"/>
      <c r="B419" s="173"/>
      <c r="C419" s="173"/>
      <c r="D419" s="173"/>
      <c r="E419" s="256"/>
      <c r="F419" s="257"/>
      <c r="G419" s="258"/>
      <c r="H419" s="305"/>
      <c r="I419" s="248"/>
      <c r="J419" s="248"/>
      <c r="K419" s="248"/>
      <c r="L419" s="248"/>
      <c r="M419" s="248"/>
      <c r="N419" s="248"/>
      <c r="O419" s="248"/>
      <c r="P419" s="248"/>
      <c r="Q419" s="248"/>
      <c r="R419" s="248"/>
      <c r="S419" s="248"/>
      <c r="T419" s="248"/>
      <c r="U419" s="278"/>
      <c r="V419" s="251"/>
      <c r="W419" s="251"/>
    </row>
    <row r="420" spans="1:23" hidden="1" x14ac:dyDescent="0.25">
      <c r="A420" s="271"/>
      <c r="B420" s="173"/>
      <c r="C420" s="173"/>
      <c r="D420" s="173"/>
      <c r="E420" s="256"/>
      <c r="F420" s="257"/>
      <c r="G420" s="258"/>
      <c r="H420" s="305"/>
      <c r="I420" s="248"/>
      <c r="J420" s="248"/>
      <c r="K420" s="248"/>
      <c r="L420" s="248"/>
      <c r="M420" s="248"/>
      <c r="N420" s="248"/>
      <c r="O420" s="248"/>
      <c r="P420" s="248"/>
      <c r="Q420" s="248"/>
      <c r="R420" s="248"/>
      <c r="S420" s="248"/>
      <c r="T420" s="248"/>
      <c r="U420" s="278"/>
      <c r="V420" s="251"/>
      <c r="W420" s="251"/>
    </row>
    <row r="421" spans="1:23" hidden="1" x14ac:dyDescent="0.25">
      <c r="A421" s="271"/>
      <c r="B421" s="173"/>
      <c r="C421" s="173"/>
      <c r="D421" s="173"/>
      <c r="E421" s="256"/>
      <c r="F421" s="257"/>
      <c r="G421" s="258"/>
      <c r="H421" s="305"/>
      <c r="I421" s="248"/>
      <c r="J421" s="248"/>
      <c r="K421" s="248"/>
      <c r="L421" s="248"/>
      <c r="M421" s="248"/>
      <c r="N421" s="248"/>
      <c r="O421" s="248"/>
      <c r="P421" s="248"/>
      <c r="Q421" s="248"/>
      <c r="R421" s="248"/>
      <c r="S421" s="248"/>
      <c r="T421" s="248"/>
      <c r="U421" s="278"/>
      <c r="V421" s="251"/>
      <c r="W421" s="251"/>
    </row>
    <row r="422" spans="1:23" s="262" customFormat="1" hidden="1" x14ac:dyDescent="0.25">
      <c r="A422" s="293"/>
      <c r="B422" s="290"/>
      <c r="C422" s="290"/>
      <c r="D422" s="290"/>
      <c r="E422" s="291">
        <v>2015</v>
      </c>
      <c r="F422" s="291">
        <v>2016</v>
      </c>
      <c r="G422" s="291">
        <v>2017</v>
      </c>
      <c r="H422" s="291"/>
      <c r="I422" s="291"/>
      <c r="J422" s="291"/>
      <c r="K422" s="291"/>
      <c r="L422" s="291">
        <f>Table1[[#This Row],[Green target threshold]]+Table1[[#This Row],[Green target threshold]]*0.5</f>
        <v>0</v>
      </c>
      <c r="M422" s="291"/>
      <c r="N422" s="291"/>
      <c r="O422" s="291"/>
      <c r="P422" s="291"/>
      <c r="Q422" s="291"/>
      <c r="R422" s="291"/>
      <c r="S422" s="291">
        <f>Table1[[#This Row],[Red target threshold]]-Table1[[#This Row],[Red target threshold]]*0.5</f>
        <v>0</v>
      </c>
      <c r="T422" s="291"/>
      <c r="U422" s="297"/>
    </row>
    <row r="423" spans="1:23" x14ac:dyDescent="0.25">
      <c r="A423" s="302" t="s">
        <v>640</v>
      </c>
      <c r="B423" s="337" t="s">
        <v>644</v>
      </c>
      <c r="C423" s="337" t="s">
        <v>645</v>
      </c>
      <c r="D423" s="336" t="s">
        <v>904</v>
      </c>
      <c r="E423" s="304">
        <v>0.57065564884860986</v>
      </c>
      <c r="F423" s="304">
        <v>0.46535993918845253</v>
      </c>
      <c r="G423" s="304">
        <v>0.46019101328446049</v>
      </c>
      <c r="H423" s="305">
        <v>2017</v>
      </c>
      <c r="I423" s="305">
        <v>0.46019101328446049</v>
      </c>
      <c r="J423" s="305">
        <v>2015</v>
      </c>
      <c r="K423" s="295">
        <v>0.65505500000000005</v>
      </c>
      <c r="L423" s="295">
        <f>Table1[[#This Row],[Green target threshold]]-Table1[[#This Row],[Green target threshold]]*0.5</f>
        <v>0.26202200000000003</v>
      </c>
      <c r="M423" s="305">
        <f>Table1[[#This Row],[Model reference value]]+Table1[[#This Row],[Model reference value]]*Table1[[#This Row],[Improvement rate]]</f>
        <v>0.52404400000000007</v>
      </c>
      <c r="N423" s="305">
        <v>-0.2</v>
      </c>
      <c r="O423" s="305" t="s">
        <v>1140</v>
      </c>
      <c r="P423" s="305">
        <f>(M423-K423)*0.5+K423</f>
        <v>0.58954950000000006</v>
      </c>
      <c r="Q423" s="305">
        <f>K423</f>
        <v>0.65505500000000005</v>
      </c>
      <c r="R423" s="305">
        <f>K423</f>
        <v>0.65505500000000005</v>
      </c>
      <c r="S423" s="305">
        <f>Table1[[#This Row],[Red target threshold]]+Table1[[#This Row],[Red target threshold]]*0.5</f>
        <v>0.98258250000000014</v>
      </c>
      <c r="T423" s="305" t="s">
        <v>1114</v>
      </c>
      <c r="U423" s="176" t="s">
        <v>1103</v>
      </c>
    </row>
    <row r="424" spans="1:23" hidden="1" x14ac:dyDescent="0.25">
      <c r="A424" s="271"/>
      <c r="B424" s="173"/>
      <c r="C424" s="173"/>
      <c r="D424" s="173"/>
      <c r="E424" s="253"/>
      <c r="F424" s="254"/>
      <c r="G424" s="255"/>
      <c r="H424" s="305"/>
      <c r="I424" s="248"/>
      <c r="J424" s="248"/>
      <c r="K424" s="248"/>
      <c r="L424" s="248">
        <f>Table1[[#This Row],[Green target threshold]]+Table1[[#This Row],[Green target threshold]]*0.5</f>
        <v>0</v>
      </c>
      <c r="M424" s="248"/>
      <c r="N424" s="248"/>
      <c r="O424" s="248"/>
      <c r="P424" s="248"/>
      <c r="Q424" s="248"/>
      <c r="R424" s="248"/>
      <c r="S424" s="248">
        <f>Table1[[#This Row],[Red target threshold]]-Table1[[#This Row],[Red target threshold]]*0.5</f>
        <v>0</v>
      </c>
      <c r="T424" s="248"/>
      <c r="U424" s="278"/>
    </row>
    <row r="425" spans="1:23" hidden="1" x14ac:dyDescent="0.25">
      <c r="A425" s="271"/>
      <c r="B425" s="173"/>
      <c r="C425" s="173"/>
      <c r="D425" s="173"/>
      <c r="E425" s="253"/>
      <c r="F425" s="254"/>
      <c r="G425" s="255"/>
      <c r="H425" s="305"/>
      <c r="I425" s="248"/>
      <c r="J425" s="248"/>
      <c r="K425" s="248"/>
      <c r="L425" s="248">
        <f>Table1[[#This Row],[Green target threshold]]+Table1[[#This Row],[Green target threshold]]*0.5</f>
        <v>0</v>
      </c>
      <c r="M425" s="248"/>
      <c r="N425" s="248"/>
      <c r="O425" s="248"/>
      <c r="P425" s="248"/>
      <c r="Q425" s="248"/>
      <c r="R425" s="248"/>
      <c r="S425" s="248">
        <f>Table1[[#This Row],[Red target threshold]]-Table1[[#This Row],[Red target threshold]]*0.5</f>
        <v>0</v>
      </c>
      <c r="T425" s="248"/>
      <c r="U425" s="278"/>
    </row>
    <row r="426" spans="1:23" hidden="1" x14ac:dyDescent="0.25">
      <c r="A426" s="271"/>
      <c r="B426" s="173"/>
      <c r="C426" s="173"/>
      <c r="D426" s="173"/>
      <c r="E426" s="253"/>
      <c r="F426" s="254"/>
      <c r="G426" s="255"/>
      <c r="H426" s="305"/>
      <c r="I426" s="248"/>
      <c r="J426" s="248"/>
      <c r="K426" s="248"/>
      <c r="L426" s="248">
        <f>Table1[[#This Row],[Green target threshold]]+Table1[[#This Row],[Green target threshold]]*0.5</f>
        <v>0</v>
      </c>
      <c r="M426" s="248"/>
      <c r="N426" s="248"/>
      <c r="O426" s="248"/>
      <c r="P426" s="248"/>
      <c r="Q426" s="248"/>
      <c r="R426" s="248"/>
      <c r="S426" s="248">
        <f>Table1[[#This Row],[Red target threshold]]-Table1[[#This Row],[Red target threshold]]*0.5</f>
        <v>0</v>
      </c>
      <c r="T426" s="248"/>
      <c r="U426" s="278"/>
    </row>
    <row r="427" spans="1:23" hidden="1" x14ac:dyDescent="0.25">
      <c r="A427" s="271"/>
      <c r="B427" s="173"/>
      <c r="C427" s="173"/>
      <c r="D427" s="173"/>
      <c r="E427" s="253"/>
      <c r="F427" s="254"/>
      <c r="G427" s="255"/>
      <c r="H427" s="305"/>
      <c r="I427" s="248"/>
      <c r="J427" s="248"/>
      <c r="K427" s="248"/>
      <c r="L427" s="248">
        <f>Table1[[#This Row],[Green target threshold]]+Table1[[#This Row],[Green target threshold]]*0.5</f>
        <v>0</v>
      </c>
      <c r="M427" s="248"/>
      <c r="N427" s="248"/>
      <c r="O427" s="248"/>
      <c r="P427" s="248"/>
      <c r="Q427" s="248"/>
      <c r="R427" s="248"/>
      <c r="S427" s="248">
        <f>Table1[[#This Row],[Red target threshold]]-Table1[[#This Row],[Red target threshold]]*0.5</f>
        <v>0</v>
      </c>
      <c r="T427" s="248"/>
      <c r="U427" s="278"/>
    </row>
    <row r="428" spans="1:23" hidden="1" x14ac:dyDescent="0.25">
      <c r="A428" s="271"/>
      <c r="B428" s="173"/>
      <c r="C428" s="173"/>
      <c r="D428" s="173"/>
      <c r="E428" s="253"/>
      <c r="F428" s="254"/>
      <c r="G428" s="255"/>
      <c r="H428" s="305"/>
      <c r="I428" s="248"/>
      <c r="J428" s="248"/>
      <c r="K428" s="248"/>
      <c r="L428" s="248">
        <f>Table1[[#This Row],[Green target threshold]]+Table1[[#This Row],[Green target threshold]]*0.5</f>
        <v>0</v>
      </c>
      <c r="M428" s="248"/>
      <c r="N428" s="248"/>
      <c r="O428" s="248"/>
      <c r="P428" s="248"/>
      <c r="Q428" s="248"/>
      <c r="R428" s="248"/>
      <c r="S428" s="248">
        <f>Table1[[#This Row],[Red target threshold]]-Table1[[#This Row],[Red target threshold]]*0.5</f>
        <v>0</v>
      </c>
      <c r="T428" s="248"/>
      <c r="U428" s="278"/>
    </row>
    <row r="429" spans="1:23" hidden="1" x14ac:dyDescent="0.25">
      <c r="A429" s="271"/>
      <c r="B429" s="173"/>
      <c r="C429" s="173"/>
      <c r="D429" s="173"/>
      <c r="E429" s="256"/>
      <c r="F429" s="257"/>
      <c r="G429" s="258"/>
      <c r="H429" s="305"/>
      <c r="I429" s="248"/>
      <c r="J429" s="248"/>
      <c r="K429" s="248"/>
      <c r="L429" s="248">
        <f>Table1[[#This Row],[Green target threshold]]+Table1[[#This Row],[Green target threshold]]*0.5</f>
        <v>0</v>
      </c>
      <c r="M429" s="248"/>
      <c r="N429" s="248"/>
      <c r="O429" s="248"/>
      <c r="P429" s="248"/>
      <c r="Q429" s="248"/>
      <c r="R429" s="248"/>
      <c r="S429" s="248">
        <f>Table1[[#This Row],[Red target threshold]]-Table1[[#This Row],[Red target threshold]]*0.5</f>
        <v>0</v>
      </c>
      <c r="T429" s="248"/>
      <c r="U429" s="278"/>
    </row>
    <row r="430" spans="1:23" hidden="1" x14ac:dyDescent="0.25">
      <c r="A430" s="271"/>
      <c r="B430" s="173"/>
      <c r="C430" s="173"/>
      <c r="D430" s="173"/>
      <c r="E430" s="256"/>
      <c r="F430" s="257"/>
      <c r="G430" s="258"/>
      <c r="H430" s="305"/>
      <c r="I430" s="248"/>
      <c r="J430" s="248"/>
      <c r="K430" s="248"/>
      <c r="L430" s="248">
        <f>Table1[[#This Row],[Green target threshold]]+Table1[[#This Row],[Green target threshold]]*0.5</f>
        <v>0</v>
      </c>
      <c r="M430" s="248"/>
      <c r="N430" s="248"/>
      <c r="O430" s="248"/>
      <c r="P430" s="248"/>
      <c r="Q430" s="248"/>
      <c r="R430" s="248"/>
      <c r="S430" s="248">
        <f>Table1[[#This Row],[Red target threshold]]-Table1[[#This Row],[Red target threshold]]*0.5</f>
        <v>0</v>
      </c>
      <c r="T430" s="248"/>
      <c r="U430" s="278"/>
    </row>
    <row r="431" spans="1:23" hidden="1" x14ac:dyDescent="0.25">
      <c r="A431" s="271"/>
      <c r="B431" s="173"/>
      <c r="C431" s="173"/>
      <c r="D431" s="173"/>
      <c r="E431" s="256"/>
      <c r="F431" s="257"/>
      <c r="G431" s="258"/>
      <c r="H431" s="305"/>
      <c r="I431" s="248"/>
      <c r="J431" s="248"/>
      <c r="K431" s="248"/>
      <c r="L431" s="248">
        <f>Table1[[#This Row],[Green target threshold]]+Table1[[#This Row],[Green target threshold]]*0.5</f>
        <v>0</v>
      </c>
      <c r="M431" s="248"/>
      <c r="N431" s="248"/>
      <c r="O431" s="248"/>
      <c r="P431" s="248"/>
      <c r="Q431" s="248"/>
      <c r="R431" s="248"/>
      <c r="S431" s="248">
        <f>Table1[[#This Row],[Red target threshold]]-Table1[[#This Row],[Red target threshold]]*0.5</f>
        <v>0</v>
      </c>
      <c r="T431" s="248"/>
      <c r="U431" s="278"/>
    </row>
    <row r="432" spans="1:23" hidden="1" x14ac:dyDescent="0.25">
      <c r="A432" s="271"/>
      <c r="B432" s="173"/>
      <c r="C432" s="173"/>
      <c r="D432" s="173"/>
      <c r="E432" s="256"/>
      <c r="F432" s="257"/>
      <c r="G432" s="258"/>
      <c r="H432" s="305"/>
      <c r="I432" s="248"/>
      <c r="J432" s="248"/>
      <c r="K432" s="248"/>
      <c r="L432" s="248">
        <f>Table1[[#This Row],[Green target threshold]]+Table1[[#This Row],[Green target threshold]]*0.5</f>
        <v>0</v>
      </c>
      <c r="M432" s="248"/>
      <c r="N432" s="248"/>
      <c r="O432" s="248"/>
      <c r="P432" s="248"/>
      <c r="Q432" s="248"/>
      <c r="R432" s="248"/>
      <c r="S432" s="248">
        <f>Table1[[#This Row],[Red target threshold]]-Table1[[#This Row],[Red target threshold]]*0.5</f>
        <v>0</v>
      </c>
      <c r="T432" s="248"/>
      <c r="U432" s="278"/>
    </row>
    <row r="433" spans="1:23" hidden="1" x14ac:dyDescent="0.25">
      <c r="A433" s="271"/>
      <c r="B433" s="173"/>
      <c r="C433" s="173"/>
      <c r="D433" s="173"/>
      <c r="E433" s="256"/>
      <c r="F433" s="257"/>
      <c r="G433" s="258"/>
      <c r="H433" s="305"/>
      <c r="I433" s="248"/>
      <c r="J433" s="248"/>
      <c r="K433" s="248"/>
      <c r="L433" s="248">
        <f>Table1[[#This Row],[Green target threshold]]+Table1[[#This Row],[Green target threshold]]*0.5</f>
        <v>0</v>
      </c>
      <c r="M433" s="248"/>
      <c r="N433" s="248"/>
      <c r="O433" s="248"/>
      <c r="P433" s="248"/>
      <c r="Q433" s="248"/>
      <c r="R433" s="248"/>
      <c r="S433" s="248">
        <f>Table1[[#This Row],[Red target threshold]]-Table1[[#This Row],[Red target threshold]]*0.5</f>
        <v>0</v>
      </c>
      <c r="T433" s="248"/>
      <c r="U433" s="278"/>
    </row>
    <row r="434" spans="1:23" s="262" customFormat="1" hidden="1" x14ac:dyDescent="0.25">
      <c r="A434" s="293"/>
      <c r="B434" s="290"/>
      <c r="C434" s="290"/>
      <c r="D434" s="290"/>
      <c r="E434" s="291">
        <v>2015</v>
      </c>
      <c r="F434" s="291">
        <v>2016</v>
      </c>
      <c r="G434" s="291">
        <v>2017</v>
      </c>
      <c r="H434" s="291"/>
      <c r="I434" s="291"/>
      <c r="J434" s="291"/>
      <c r="K434" s="291"/>
      <c r="L434" s="291">
        <f>Table1[[#This Row],[Green target threshold]]+Table1[[#This Row],[Green target threshold]]*0.5</f>
        <v>0</v>
      </c>
      <c r="M434" s="291"/>
      <c r="N434" s="291"/>
      <c r="O434" s="291"/>
      <c r="P434" s="291"/>
      <c r="Q434" s="291"/>
      <c r="R434" s="291"/>
      <c r="S434" s="291">
        <f>Table1[[#This Row],[Red target threshold]]-Table1[[#This Row],[Red target threshold]]*0.5</f>
        <v>0</v>
      </c>
      <c r="T434" s="291"/>
      <c r="U434" s="297"/>
    </row>
    <row r="435" spans="1:23" x14ac:dyDescent="0.25">
      <c r="A435" s="302" t="s">
        <v>641</v>
      </c>
      <c r="B435" s="337" t="s">
        <v>1112</v>
      </c>
      <c r="C435" s="337" t="s">
        <v>645</v>
      </c>
      <c r="D435" s="336" t="s">
        <v>904</v>
      </c>
      <c r="E435" s="304">
        <v>0.7883381298190415</v>
      </c>
      <c r="F435" s="304">
        <v>0.78656058603811374</v>
      </c>
      <c r="G435" s="304">
        <v>0.79016088480322133</v>
      </c>
      <c r="H435" s="305">
        <v>2017</v>
      </c>
      <c r="I435" s="305">
        <v>0.79016088480322133</v>
      </c>
      <c r="J435" s="305">
        <v>2015</v>
      </c>
      <c r="K435" s="295">
        <v>0.94756200000000002</v>
      </c>
      <c r="L435" s="295">
        <f>Table1[[#This Row],[Green target threshold]]-Table1[[#This Row],[Green target threshold]]*0.5</f>
        <v>0.3790248</v>
      </c>
      <c r="M435" s="305">
        <f>Table1[[#This Row],[Model reference value]]+Table1[[#This Row],[Model reference value]]*Table1[[#This Row],[Improvement rate]]</f>
        <v>0.75804959999999999</v>
      </c>
      <c r="N435" s="305">
        <v>-0.2</v>
      </c>
      <c r="O435" s="305" t="s">
        <v>1140</v>
      </c>
      <c r="P435" s="305">
        <f>(M435-K435)*0.5+K435</f>
        <v>0.85280580000000006</v>
      </c>
      <c r="Q435" s="305">
        <f>K435</f>
        <v>0.94756200000000002</v>
      </c>
      <c r="R435" s="305">
        <f>K435</f>
        <v>0.94756200000000002</v>
      </c>
      <c r="S435" s="305">
        <f>Table1[[#This Row],[Red target threshold]]+Table1[[#This Row],[Red target threshold]]*0.5</f>
        <v>1.421343</v>
      </c>
      <c r="T435" s="305" t="s">
        <v>1113</v>
      </c>
      <c r="U435" s="176" t="s">
        <v>1103</v>
      </c>
      <c r="W435" s="251" t="s">
        <v>932</v>
      </c>
    </row>
    <row r="436" spans="1:23" hidden="1" x14ac:dyDescent="0.25">
      <c r="A436" s="271"/>
      <c r="B436" s="173"/>
      <c r="C436" s="173"/>
      <c r="D436" s="173"/>
      <c r="E436" s="253"/>
      <c r="F436" s="254"/>
      <c r="G436" s="255"/>
      <c r="H436" s="305"/>
      <c r="I436" s="248"/>
      <c r="J436" s="248"/>
      <c r="K436" s="248"/>
      <c r="L436" s="248">
        <f>Table1[[#This Row],[Green target threshold]]+Table1[[#This Row],[Green target threshold]]*0.5</f>
        <v>0</v>
      </c>
      <c r="M436" s="248"/>
      <c r="N436" s="248"/>
      <c r="O436" s="248"/>
      <c r="P436" s="248"/>
      <c r="Q436" s="248"/>
      <c r="R436" s="248"/>
      <c r="S436" s="248">
        <f>Table1[[#This Row],[Red target threshold]]-Table1[[#This Row],[Red target threshold]]*0.5</f>
        <v>0</v>
      </c>
      <c r="T436" s="248"/>
      <c r="U436" s="278"/>
    </row>
    <row r="437" spans="1:23" hidden="1" x14ac:dyDescent="0.25">
      <c r="A437" s="271"/>
      <c r="B437" s="173"/>
      <c r="C437" s="173"/>
      <c r="D437" s="173"/>
      <c r="E437" s="253"/>
      <c r="F437" s="254"/>
      <c r="G437" s="255"/>
      <c r="H437" s="305"/>
      <c r="I437" s="248"/>
      <c r="J437" s="248"/>
      <c r="K437" s="248"/>
      <c r="L437" s="248">
        <f>Table1[[#This Row],[Green target threshold]]+Table1[[#This Row],[Green target threshold]]*0.5</f>
        <v>0</v>
      </c>
      <c r="M437" s="248"/>
      <c r="N437" s="248"/>
      <c r="O437" s="248"/>
      <c r="P437" s="248"/>
      <c r="Q437" s="248"/>
      <c r="R437" s="248"/>
      <c r="S437" s="248">
        <f>Table1[[#This Row],[Red target threshold]]-Table1[[#This Row],[Red target threshold]]*0.5</f>
        <v>0</v>
      </c>
      <c r="T437" s="248"/>
      <c r="U437" s="278"/>
    </row>
    <row r="438" spans="1:23" hidden="1" x14ac:dyDescent="0.25">
      <c r="A438" s="271"/>
      <c r="B438" s="173"/>
      <c r="C438" s="173"/>
      <c r="D438" s="173"/>
      <c r="E438" s="253"/>
      <c r="F438" s="254"/>
      <c r="G438" s="255"/>
      <c r="H438" s="305"/>
      <c r="I438" s="248"/>
      <c r="J438" s="248"/>
      <c r="K438" s="248"/>
      <c r="L438" s="248">
        <f>Table1[[#This Row],[Green target threshold]]+Table1[[#This Row],[Green target threshold]]*0.5</f>
        <v>0</v>
      </c>
      <c r="M438" s="248"/>
      <c r="N438" s="248"/>
      <c r="O438" s="248"/>
      <c r="P438" s="248"/>
      <c r="Q438" s="248"/>
      <c r="R438" s="248"/>
      <c r="S438" s="248">
        <f>Table1[[#This Row],[Red target threshold]]-Table1[[#This Row],[Red target threshold]]*0.5</f>
        <v>0</v>
      </c>
      <c r="T438" s="248"/>
      <c r="U438" s="278"/>
    </row>
    <row r="439" spans="1:23" hidden="1" x14ac:dyDescent="0.25">
      <c r="A439" s="271"/>
      <c r="B439" s="173"/>
      <c r="C439" s="173"/>
      <c r="D439" s="173"/>
      <c r="E439" s="253"/>
      <c r="F439" s="254"/>
      <c r="G439" s="255"/>
      <c r="H439" s="305"/>
      <c r="I439" s="248"/>
      <c r="J439" s="248"/>
      <c r="K439" s="248"/>
      <c r="L439" s="248">
        <f>Table1[[#This Row],[Green target threshold]]+Table1[[#This Row],[Green target threshold]]*0.5</f>
        <v>0</v>
      </c>
      <c r="M439" s="248"/>
      <c r="N439" s="248"/>
      <c r="O439" s="248"/>
      <c r="P439" s="248"/>
      <c r="Q439" s="248"/>
      <c r="R439" s="248"/>
      <c r="S439" s="248">
        <f>Table1[[#This Row],[Red target threshold]]-Table1[[#This Row],[Red target threshold]]*0.5</f>
        <v>0</v>
      </c>
      <c r="T439" s="248"/>
      <c r="U439" s="278"/>
    </row>
    <row r="440" spans="1:23" hidden="1" x14ac:dyDescent="0.25">
      <c r="A440" s="271"/>
      <c r="B440" s="173"/>
      <c r="C440" s="173"/>
      <c r="D440" s="173"/>
      <c r="E440" s="253"/>
      <c r="F440" s="254"/>
      <c r="G440" s="255"/>
      <c r="H440" s="305"/>
      <c r="I440" s="248"/>
      <c r="J440" s="248"/>
      <c r="K440" s="248"/>
      <c r="L440" s="248">
        <f>Table1[[#This Row],[Green target threshold]]+Table1[[#This Row],[Green target threshold]]*0.5</f>
        <v>0</v>
      </c>
      <c r="M440" s="248"/>
      <c r="N440" s="248"/>
      <c r="O440" s="248"/>
      <c r="P440" s="248"/>
      <c r="Q440" s="248"/>
      <c r="R440" s="248"/>
      <c r="S440" s="248">
        <f>Table1[[#This Row],[Red target threshold]]-Table1[[#This Row],[Red target threshold]]*0.5</f>
        <v>0</v>
      </c>
      <c r="T440" s="248"/>
      <c r="U440" s="278"/>
    </row>
    <row r="441" spans="1:23" hidden="1" x14ac:dyDescent="0.25">
      <c r="A441" s="271"/>
      <c r="B441" s="173"/>
      <c r="C441" s="173"/>
      <c r="D441" s="173"/>
      <c r="E441" s="256"/>
      <c r="F441" s="257"/>
      <c r="G441" s="258"/>
      <c r="H441" s="305"/>
      <c r="I441" s="248"/>
      <c r="J441" s="248"/>
      <c r="K441" s="248"/>
      <c r="L441" s="248">
        <f>Table1[[#This Row],[Green target threshold]]+Table1[[#This Row],[Green target threshold]]*0.5</f>
        <v>0</v>
      </c>
      <c r="M441" s="248"/>
      <c r="N441" s="248"/>
      <c r="O441" s="248"/>
      <c r="P441" s="248"/>
      <c r="Q441" s="248"/>
      <c r="R441" s="248"/>
      <c r="S441" s="248">
        <f>Table1[[#This Row],[Red target threshold]]-Table1[[#This Row],[Red target threshold]]*0.5</f>
        <v>0</v>
      </c>
      <c r="T441" s="248"/>
      <c r="U441" s="278"/>
    </row>
    <row r="442" spans="1:23" hidden="1" x14ac:dyDescent="0.25">
      <c r="A442" s="271"/>
      <c r="B442" s="173"/>
      <c r="C442" s="173"/>
      <c r="D442" s="173"/>
      <c r="E442" s="256"/>
      <c r="F442" s="257"/>
      <c r="G442" s="258"/>
      <c r="H442" s="305"/>
      <c r="I442" s="248"/>
      <c r="J442" s="248"/>
      <c r="K442" s="248"/>
      <c r="L442" s="248">
        <f>Table1[[#This Row],[Green target threshold]]+Table1[[#This Row],[Green target threshold]]*0.5</f>
        <v>0</v>
      </c>
      <c r="M442" s="248"/>
      <c r="N442" s="248"/>
      <c r="O442" s="248"/>
      <c r="P442" s="248"/>
      <c r="Q442" s="248"/>
      <c r="R442" s="248"/>
      <c r="S442" s="248">
        <f>Table1[[#This Row],[Red target threshold]]-Table1[[#This Row],[Red target threshold]]*0.5</f>
        <v>0</v>
      </c>
      <c r="T442" s="248"/>
      <c r="U442" s="278"/>
    </row>
    <row r="443" spans="1:23" hidden="1" x14ac:dyDescent="0.25">
      <c r="A443" s="271"/>
      <c r="B443" s="173"/>
      <c r="C443" s="173"/>
      <c r="D443" s="173"/>
      <c r="E443" s="256"/>
      <c r="F443" s="257"/>
      <c r="G443" s="258"/>
      <c r="H443" s="305"/>
      <c r="I443" s="248"/>
      <c r="J443" s="248"/>
      <c r="K443" s="248"/>
      <c r="L443" s="248">
        <f>Table1[[#This Row],[Green target threshold]]+Table1[[#This Row],[Green target threshold]]*0.5</f>
        <v>0</v>
      </c>
      <c r="M443" s="248"/>
      <c r="N443" s="248"/>
      <c r="O443" s="248"/>
      <c r="P443" s="248"/>
      <c r="Q443" s="248"/>
      <c r="R443" s="248"/>
      <c r="S443" s="248">
        <f>Table1[[#This Row],[Red target threshold]]-Table1[[#This Row],[Red target threshold]]*0.5</f>
        <v>0</v>
      </c>
      <c r="T443" s="248"/>
      <c r="U443" s="278"/>
    </row>
    <row r="444" spans="1:23" hidden="1" x14ac:dyDescent="0.25">
      <c r="A444" s="271"/>
      <c r="B444" s="173"/>
      <c r="C444" s="173"/>
      <c r="D444" s="173"/>
      <c r="E444" s="256"/>
      <c r="F444" s="257"/>
      <c r="G444" s="258"/>
      <c r="H444" s="305"/>
      <c r="I444" s="248"/>
      <c r="J444" s="248"/>
      <c r="K444" s="248"/>
      <c r="L444" s="248">
        <f>Table1[[#This Row],[Green target threshold]]+Table1[[#This Row],[Green target threshold]]*0.5</f>
        <v>0</v>
      </c>
      <c r="M444" s="248"/>
      <c r="N444" s="248"/>
      <c r="O444" s="248"/>
      <c r="P444" s="248"/>
      <c r="Q444" s="248"/>
      <c r="R444" s="248"/>
      <c r="S444" s="248">
        <f>Table1[[#This Row],[Red target threshold]]-Table1[[#This Row],[Red target threshold]]*0.5</f>
        <v>0</v>
      </c>
      <c r="T444" s="248"/>
      <c r="U444" s="278"/>
    </row>
    <row r="445" spans="1:23" hidden="1" x14ac:dyDescent="0.25">
      <c r="A445" s="271"/>
      <c r="B445" s="173"/>
      <c r="C445" s="173"/>
      <c r="D445" s="173"/>
      <c r="E445" s="256"/>
      <c r="F445" s="257"/>
      <c r="G445" s="258"/>
      <c r="H445" s="305"/>
      <c r="I445" s="248"/>
      <c r="J445" s="248"/>
      <c r="K445" s="248"/>
      <c r="L445" s="248">
        <f>Table1[[#This Row],[Green target threshold]]+Table1[[#This Row],[Green target threshold]]*0.5</f>
        <v>0</v>
      </c>
      <c r="M445" s="248"/>
      <c r="N445" s="248"/>
      <c r="O445" s="248"/>
      <c r="P445" s="248"/>
      <c r="Q445" s="248"/>
      <c r="R445" s="248"/>
      <c r="S445" s="248">
        <f>Table1[[#This Row],[Red target threshold]]-Table1[[#This Row],[Red target threshold]]*0.5</f>
        <v>0</v>
      </c>
      <c r="T445" s="248"/>
      <c r="U445" s="278"/>
    </row>
    <row r="446" spans="1:23" hidden="1" x14ac:dyDescent="0.25">
      <c r="A446" s="293"/>
      <c r="B446" s="290"/>
      <c r="C446" s="290"/>
      <c r="D446" s="290"/>
      <c r="E446" s="291">
        <v>2015</v>
      </c>
      <c r="F446" s="291">
        <v>2016</v>
      </c>
      <c r="G446" s="291">
        <v>2017</v>
      </c>
      <c r="H446" s="291"/>
      <c r="I446" s="291"/>
      <c r="J446" s="291"/>
      <c r="K446" s="291"/>
      <c r="L446" s="291">
        <f>Table1[[#This Row],[Green target threshold]]+Table1[[#This Row],[Green target threshold]]*0.5</f>
        <v>0</v>
      </c>
      <c r="M446" s="291"/>
      <c r="N446" s="291"/>
      <c r="O446" s="291"/>
      <c r="P446" s="291"/>
      <c r="Q446" s="291"/>
      <c r="R446" s="291"/>
      <c r="S446" s="291">
        <f>Table1[[#This Row],[Red target threshold]]-Table1[[#This Row],[Red target threshold]]*0.5</f>
        <v>0</v>
      </c>
      <c r="T446" s="291"/>
      <c r="U446" s="297"/>
    </row>
    <row r="447" spans="1:23" x14ac:dyDescent="0.25">
      <c r="A447" s="302" t="s">
        <v>1104</v>
      </c>
      <c r="B447" s="337" t="s">
        <v>1108</v>
      </c>
      <c r="C447" s="337" t="s">
        <v>1101</v>
      </c>
      <c r="D447" s="336" t="s">
        <v>904</v>
      </c>
      <c r="E447" s="304">
        <v>5817775475.0031729</v>
      </c>
      <c r="F447" s="304">
        <v>5870905557.0628424</v>
      </c>
      <c r="G447" s="304">
        <v>5964022886.5478907</v>
      </c>
      <c r="H447" s="305">
        <v>2017</v>
      </c>
      <c r="I447" s="305">
        <v>5964022886.5478907</v>
      </c>
      <c r="J447" s="305">
        <v>2015</v>
      </c>
      <c r="K447" s="295">
        <f>6.48219*1000000000</f>
        <v>6482190000</v>
      </c>
      <c r="L447" s="295">
        <f>Table1[[#This Row],[Green target threshold]]-Table1[[#This Row],[Green target threshold]]*0.5</f>
        <v>2592876000</v>
      </c>
      <c r="M447" s="305">
        <f>Table1[[#This Row],[Model reference value]]+Table1[[#This Row],[Model reference value]]*Table1[[#This Row],[Improvement rate]]</f>
        <v>5185752000</v>
      </c>
      <c r="N447" s="305">
        <v>-0.2</v>
      </c>
      <c r="O447" s="305" t="s">
        <v>1140</v>
      </c>
      <c r="P447" s="305">
        <f>(M447-K447)*0.5+K447</f>
        <v>5833971000</v>
      </c>
      <c r="Q447" s="305">
        <f>K447</f>
        <v>6482190000</v>
      </c>
      <c r="R447" s="305">
        <f>K447</f>
        <v>6482190000</v>
      </c>
      <c r="S447" s="305">
        <f>Table1[[#This Row],[Red target threshold]]+Table1[[#This Row],[Red target threshold]]*0.5</f>
        <v>9723285000</v>
      </c>
      <c r="T447" s="305"/>
      <c r="U447" s="176" t="s">
        <v>1103</v>
      </c>
    </row>
    <row r="448" spans="1:23" hidden="1" x14ac:dyDescent="0.25">
      <c r="A448" s="271"/>
      <c r="B448" s="173"/>
      <c r="C448" s="173"/>
      <c r="D448" s="173"/>
      <c r="E448" s="253"/>
      <c r="F448" s="254"/>
      <c r="G448" s="255"/>
      <c r="H448" s="305"/>
      <c r="I448" s="248"/>
      <c r="J448" s="248"/>
      <c r="K448" s="248"/>
      <c r="L448" s="248"/>
      <c r="M448" s="248"/>
      <c r="N448" s="248"/>
      <c r="O448" s="248"/>
      <c r="P448" s="248"/>
      <c r="Q448" s="248"/>
      <c r="R448" s="248"/>
      <c r="S448" s="248"/>
      <c r="T448" s="248"/>
      <c r="U448" s="278"/>
    </row>
    <row r="449" spans="1:21" hidden="1" x14ac:dyDescent="0.25">
      <c r="A449" s="271"/>
      <c r="B449" s="173"/>
      <c r="C449" s="173"/>
      <c r="D449" s="173"/>
      <c r="E449" s="253"/>
      <c r="F449" s="254"/>
      <c r="G449" s="255"/>
      <c r="H449" s="305"/>
      <c r="I449" s="248"/>
      <c r="J449" s="248"/>
      <c r="K449" s="248"/>
      <c r="L449" s="248"/>
      <c r="M449" s="248"/>
      <c r="N449" s="248"/>
      <c r="O449" s="248"/>
      <c r="P449" s="248"/>
      <c r="Q449" s="248"/>
      <c r="R449" s="248"/>
      <c r="S449" s="248"/>
      <c r="T449" s="248"/>
      <c r="U449" s="278"/>
    </row>
    <row r="450" spans="1:21" hidden="1" x14ac:dyDescent="0.25">
      <c r="A450" s="271"/>
      <c r="B450" s="173"/>
      <c r="C450" s="173"/>
      <c r="D450" s="173"/>
      <c r="E450" s="253"/>
      <c r="F450" s="254"/>
      <c r="G450" s="255"/>
      <c r="H450" s="305"/>
      <c r="I450" s="248"/>
      <c r="J450" s="248"/>
      <c r="K450" s="248"/>
      <c r="L450" s="248"/>
      <c r="M450" s="248"/>
      <c r="N450" s="248"/>
      <c r="O450" s="248"/>
      <c r="P450" s="248"/>
      <c r="Q450" s="248"/>
      <c r="R450" s="248"/>
      <c r="S450" s="248"/>
      <c r="T450" s="248"/>
      <c r="U450" s="278"/>
    </row>
    <row r="451" spans="1:21" hidden="1" x14ac:dyDescent="0.25">
      <c r="A451" s="271"/>
      <c r="B451" s="173"/>
      <c r="C451" s="173"/>
      <c r="D451" s="173"/>
      <c r="E451" s="253"/>
      <c r="F451" s="254"/>
      <c r="G451" s="255"/>
      <c r="H451" s="305"/>
      <c r="I451" s="248"/>
      <c r="J451" s="248"/>
      <c r="K451" s="248"/>
      <c r="L451" s="248"/>
      <c r="M451" s="248"/>
      <c r="N451" s="248"/>
      <c r="O451" s="248"/>
      <c r="P451" s="248"/>
      <c r="Q451" s="248"/>
      <c r="R451" s="248"/>
      <c r="S451" s="248"/>
      <c r="T451" s="248"/>
      <c r="U451" s="278"/>
    </row>
    <row r="452" spans="1:21" hidden="1" x14ac:dyDescent="0.25">
      <c r="A452" s="271"/>
      <c r="B452" s="173"/>
      <c r="C452" s="173"/>
      <c r="D452" s="173"/>
      <c r="E452" s="253"/>
      <c r="F452" s="254"/>
      <c r="G452" s="255"/>
      <c r="H452" s="305"/>
      <c r="I452" s="248"/>
      <c r="J452" s="248"/>
      <c r="K452" s="248"/>
      <c r="L452" s="248"/>
      <c r="M452" s="248"/>
      <c r="N452" s="248"/>
      <c r="O452" s="248"/>
      <c r="P452" s="248"/>
      <c r="Q452" s="248"/>
      <c r="R452" s="248"/>
      <c r="S452" s="248"/>
      <c r="T452" s="248"/>
      <c r="U452" s="278"/>
    </row>
    <row r="453" spans="1:21" hidden="1" x14ac:dyDescent="0.25">
      <c r="A453" s="271"/>
      <c r="B453" s="173"/>
      <c r="C453" s="173"/>
      <c r="D453" s="173"/>
      <c r="E453" s="256"/>
      <c r="F453" s="257"/>
      <c r="G453" s="258"/>
      <c r="H453" s="305"/>
      <c r="I453" s="248"/>
      <c r="J453" s="248"/>
      <c r="K453" s="248"/>
      <c r="L453" s="248"/>
      <c r="M453" s="248"/>
      <c r="N453" s="248"/>
      <c r="O453" s="248"/>
      <c r="P453" s="248"/>
      <c r="Q453" s="248"/>
      <c r="R453" s="248"/>
      <c r="S453" s="248"/>
      <c r="T453" s="248"/>
      <c r="U453" s="278"/>
    </row>
    <row r="454" spans="1:21" hidden="1" x14ac:dyDescent="0.25">
      <c r="A454" s="271"/>
      <c r="B454" s="173"/>
      <c r="C454" s="173"/>
      <c r="D454" s="173"/>
      <c r="E454" s="256"/>
      <c r="F454" s="257"/>
      <c r="G454" s="258"/>
      <c r="H454" s="305"/>
      <c r="I454" s="248"/>
      <c r="J454" s="248"/>
      <c r="K454" s="248"/>
      <c r="L454" s="248"/>
      <c r="M454" s="248"/>
      <c r="N454" s="248"/>
      <c r="O454" s="248"/>
      <c r="P454" s="248"/>
      <c r="Q454" s="248"/>
      <c r="R454" s="248"/>
      <c r="S454" s="248"/>
      <c r="T454" s="248"/>
      <c r="U454" s="278"/>
    </row>
    <row r="455" spans="1:21" hidden="1" x14ac:dyDescent="0.25">
      <c r="A455" s="271"/>
      <c r="B455" s="173"/>
      <c r="C455" s="173"/>
      <c r="D455" s="173"/>
      <c r="E455" s="256"/>
      <c r="F455" s="257"/>
      <c r="G455" s="258"/>
      <c r="H455" s="305"/>
      <c r="I455" s="248"/>
      <c r="J455" s="248"/>
      <c r="K455" s="248"/>
      <c r="L455" s="248"/>
      <c r="M455" s="248"/>
      <c r="N455" s="248"/>
      <c r="O455" s="248"/>
      <c r="P455" s="248"/>
      <c r="Q455" s="248"/>
      <c r="R455" s="248"/>
      <c r="S455" s="248"/>
      <c r="T455" s="248"/>
      <c r="U455" s="278"/>
    </row>
    <row r="456" spans="1:21" hidden="1" x14ac:dyDescent="0.25">
      <c r="A456" s="271"/>
      <c r="B456" s="173"/>
      <c r="C456" s="173"/>
      <c r="D456" s="173"/>
      <c r="E456" s="256"/>
      <c r="F456" s="257"/>
      <c r="G456" s="258"/>
      <c r="H456" s="305"/>
      <c r="I456" s="248"/>
      <c r="J456" s="248"/>
      <c r="K456" s="248"/>
      <c r="L456" s="248"/>
      <c r="M456" s="248"/>
      <c r="N456" s="248"/>
      <c r="O456" s="248"/>
      <c r="P456" s="248"/>
      <c r="Q456" s="248"/>
      <c r="R456" s="248"/>
      <c r="S456" s="248"/>
      <c r="T456" s="248"/>
      <c r="U456" s="278"/>
    </row>
    <row r="457" spans="1:21" hidden="1" x14ac:dyDescent="0.25">
      <c r="A457" s="271"/>
      <c r="B457" s="173"/>
      <c r="C457" s="173"/>
      <c r="D457" s="173"/>
      <c r="E457" s="256"/>
      <c r="F457" s="257"/>
      <c r="G457" s="258"/>
      <c r="H457" s="305"/>
      <c r="I457" s="248"/>
      <c r="J457" s="248"/>
      <c r="K457" s="248"/>
      <c r="L457" s="248"/>
      <c r="M457" s="248"/>
      <c r="N457" s="248"/>
      <c r="O457" s="248"/>
      <c r="P457" s="248"/>
      <c r="Q457" s="248"/>
      <c r="R457" s="248"/>
      <c r="S457" s="248"/>
      <c r="T457" s="248"/>
      <c r="U457" s="278"/>
    </row>
    <row r="458" spans="1:21" s="262" customFormat="1" hidden="1" x14ac:dyDescent="0.25">
      <c r="A458" s="293"/>
      <c r="B458" s="290"/>
      <c r="C458" s="290"/>
      <c r="D458" s="290"/>
      <c r="E458" s="290">
        <v>2014</v>
      </c>
      <c r="F458" s="290">
        <v>2015</v>
      </c>
      <c r="G458" s="290">
        <v>2016</v>
      </c>
      <c r="H458" s="290"/>
      <c r="I458" s="290"/>
      <c r="J458" s="290"/>
      <c r="K458" s="290"/>
      <c r="L458" s="290">
        <f>Table1[[#This Row],[Green target threshold]]+Table1[[#This Row],[Green target threshold]]*0.5</f>
        <v>0</v>
      </c>
      <c r="M458" s="290"/>
      <c r="N458" s="290"/>
      <c r="O458" s="290"/>
      <c r="P458" s="290"/>
      <c r="Q458" s="290"/>
      <c r="R458" s="290"/>
      <c r="S458" s="290">
        <f>Table1[[#This Row],[Red target threshold]]-Table1[[#This Row],[Red target threshold]]*0.5</f>
        <v>0</v>
      </c>
      <c r="T458" s="290"/>
      <c r="U458" s="297"/>
    </row>
    <row r="459" spans="1:21" x14ac:dyDescent="0.25">
      <c r="A459" s="302" t="s">
        <v>801</v>
      </c>
      <c r="B459" s="337" t="s">
        <v>800</v>
      </c>
      <c r="C459" s="337" t="s">
        <v>645</v>
      </c>
      <c r="D459" s="336" t="s">
        <v>904</v>
      </c>
      <c r="E459" s="304">
        <v>4.54</v>
      </c>
      <c r="F459" s="304">
        <v>4.5</v>
      </c>
      <c r="G459" s="304">
        <v>4.46</v>
      </c>
      <c r="H459" s="305">
        <v>2016</v>
      </c>
      <c r="I459" s="305">
        <v>4.46</v>
      </c>
      <c r="J459" s="305">
        <v>2015</v>
      </c>
      <c r="K459" s="295">
        <v>4.8656300000000003</v>
      </c>
      <c r="L459" s="295">
        <f>Table1[[#This Row],[Green target threshold]]-Table1[[#This Row],[Green target threshold]]*0.5</f>
        <v>1.9462520000000001</v>
      </c>
      <c r="M459" s="305">
        <f>Table1[[#This Row],[Model reference value]]+Table1[[#This Row],[Model reference value]]*Table1[[#This Row],[Improvement rate]]</f>
        <v>3.8925040000000002</v>
      </c>
      <c r="N459" s="305">
        <v>-0.2</v>
      </c>
      <c r="O459" s="305" t="s">
        <v>1140</v>
      </c>
      <c r="P459" s="305">
        <f>(M459-K459)*0.5+K459</f>
        <v>4.379067</v>
      </c>
      <c r="Q459" s="305">
        <f>K459</f>
        <v>4.8656300000000003</v>
      </c>
      <c r="R459" s="305">
        <f>K459</f>
        <v>4.8656300000000003</v>
      </c>
      <c r="S459" s="305">
        <f>Table1[[#This Row],[Red target threshold]]+Table1[[#This Row],[Red target threshold]]*0.5</f>
        <v>7.298445000000001</v>
      </c>
      <c r="T459" s="305"/>
      <c r="U459" s="303" t="s">
        <v>803</v>
      </c>
    </row>
    <row r="460" spans="1:21" hidden="1" x14ac:dyDescent="0.25">
      <c r="A460" s="271"/>
      <c r="B460" s="173"/>
      <c r="C460" s="173"/>
      <c r="D460" s="173" t="s">
        <v>796</v>
      </c>
      <c r="E460" s="253">
        <v>15.86</v>
      </c>
      <c r="F460" s="254">
        <v>15.38</v>
      </c>
      <c r="G460" s="255">
        <v>15.02</v>
      </c>
      <c r="H460" s="305">
        <v>2016</v>
      </c>
      <c r="I460" s="248">
        <v>15.02</v>
      </c>
      <c r="J460" s="248"/>
      <c r="K460" s="248"/>
      <c r="L460" s="248">
        <f>Table1[[#This Row],[Green target threshold]]+Table1[[#This Row],[Green target threshold]]*0.5</f>
        <v>0</v>
      </c>
      <c r="M460" s="248"/>
      <c r="N460" s="248"/>
      <c r="O460" s="248"/>
      <c r="P460" s="248"/>
      <c r="Q460" s="248"/>
      <c r="R460" s="248"/>
      <c r="S460" s="248">
        <f>Table1[[#This Row],[Red target threshold]]-Table1[[#This Row],[Red target threshold]]*0.5</f>
        <v>0</v>
      </c>
      <c r="T460" s="248"/>
      <c r="U460" s="278"/>
    </row>
    <row r="461" spans="1:21" hidden="1" x14ac:dyDescent="0.25">
      <c r="A461" s="271"/>
      <c r="B461" s="173"/>
      <c r="C461" s="173"/>
      <c r="D461" s="173" t="s">
        <v>799</v>
      </c>
      <c r="E461" s="253">
        <v>9.26</v>
      </c>
      <c r="F461" s="254">
        <v>9.14</v>
      </c>
      <c r="G461" s="255">
        <v>9.0399999999999991</v>
      </c>
      <c r="H461" s="305">
        <v>2016</v>
      </c>
      <c r="I461" s="248">
        <v>9.0399999999999991</v>
      </c>
      <c r="J461" s="248"/>
      <c r="K461" s="248"/>
      <c r="L461" s="248">
        <f>Table1[[#This Row],[Green target threshold]]+Table1[[#This Row],[Green target threshold]]*0.5</f>
        <v>0</v>
      </c>
      <c r="M461" s="248"/>
      <c r="N461" s="248"/>
      <c r="O461" s="248"/>
      <c r="P461" s="248"/>
      <c r="Q461" s="248"/>
      <c r="R461" s="248"/>
      <c r="S461" s="248">
        <f>Table1[[#This Row],[Red target threshold]]-Table1[[#This Row],[Red target threshold]]*0.5</f>
        <v>0</v>
      </c>
      <c r="T461" s="248"/>
      <c r="U461" s="278"/>
    </row>
    <row r="462" spans="1:21" hidden="1" x14ac:dyDescent="0.25">
      <c r="A462" s="271"/>
      <c r="B462" s="173"/>
      <c r="C462" s="173"/>
      <c r="D462" s="173" t="s">
        <v>797</v>
      </c>
      <c r="E462" s="253">
        <v>5.42</v>
      </c>
      <c r="F462" s="254">
        <v>5.52</v>
      </c>
      <c r="G462" s="255">
        <v>5.52</v>
      </c>
      <c r="H462" s="305">
        <v>2016</v>
      </c>
      <c r="I462" s="248">
        <v>5.52</v>
      </c>
      <c r="J462" s="248"/>
      <c r="K462" s="248"/>
      <c r="L462" s="248">
        <f>Table1[[#This Row],[Green target threshold]]+Table1[[#This Row],[Green target threshold]]*0.5</f>
        <v>0</v>
      </c>
      <c r="M462" s="248"/>
      <c r="N462" s="248"/>
      <c r="O462" s="248"/>
      <c r="P462" s="248"/>
      <c r="Q462" s="248"/>
      <c r="R462" s="248"/>
      <c r="S462" s="248">
        <f>Table1[[#This Row],[Red target threshold]]-Table1[[#This Row],[Red target threshold]]*0.5</f>
        <v>0</v>
      </c>
      <c r="T462" s="248"/>
      <c r="U462" s="278"/>
    </row>
    <row r="463" spans="1:21" hidden="1" x14ac:dyDescent="0.25">
      <c r="A463" s="271"/>
      <c r="B463" s="173"/>
      <c r="C463" s="173"/>
      <c r="D463" s="173" t="s">
        <v>795</v>
      </c>
      <c r="E463" s="253">
        <v>4.43</v>
      </c>
      <c r="F463" s="254">
        <v>4.37</v>
      </c>
      <c r="G463" s="255">
        <v>4.32</v>
      </c>
      <c r="H463" s="305">
        <v>2016</v>
      </c>
      <c r="I463" s="248">
        <v>4.32</v>
      </c>
      <c r="J463" s="248"/>
      <c r="K463" s="248"/>
      <c r="L463" s="248">
        <f>Table1[[#This Row],[Green target threshold]]+Table1[[#This Row],[Green target threshold]]*0.5</f>
        <v>0</v>
      </c>
      <c r="M463" s="248"/>
      <c r="N463" s="248"/>
      <c r="O463" s="248"/>
      <c r="P463" s="248"/>
      <c r="Q463" s="248"/>
      <c r="R463" s="248"/>
      <c r="S463" s="248">
        <f>Table1[[#This Row],[Red target threshold]]-Table1[[#This Row],[Red target threshold]]*0.5</f>
        <v>0</v>
      </c>
      <c r="T463" s="248"/>
      <c r="U463" s="278"/>
    </row>
    <row r="464" spans="1:21" hidden="1" x14ac:dyDescent="0.25">
      <c r="A464" s="271"/>
      <c r="B464" s="173"/>
      <c r="C464" s="173"/>
      <c r="D464" s="173" t="s">
        <v>794</v>
      </c>
      <c r="E464" s="253">
        <v>2.91</v>
      </c>
      <c r="F464" s="254">
        <v>2.89</v>
      </c>
      <c r="G464" s="255">
        <v>2.86</v>
      </c>
      <c r="H464" s="305">
        <v>2016</v>
      </c>
      <c r="I464" s="248">
        <v>2.86</v>
      </c>
      <c r="J464" s="248"/>
      <c r="K464" s="248"/>
      <c r="L464" s="248">
        <f>Table1[[#This Row],[Green target threshold]]+Table1[[#This Row],[Green target threshold]]*0.5</f>
        <v>0</v>
      </c>
      <c r="M464" s="248"/>
      <c r="N464" s="248"/>
      <c r="O464" s="248"/>
      <c r="P464" s="248"/>
      <c r="Q464" s="248"/>
      <c r="R464" s="248"/>
      <c r="S464" s="248">
        <f>Table1[[#This Row],[Red target threshold]]-Table1[[#This Row],[Red target threshold]]*0.5</f>
        <v>0</v>
      </c>
      <c r="T464" s="248"/>
      <c r="U464" s="278"/>
    </row>
    <row r="465" spans="1:21" hidden="1" x14ac:dyDescent="0.25">
      <c r="A465" s="271"/>
      <c r="B465" s="173"/>
      <c r="C465" s="173"/>
      <c r="D465" s="173" t="s">
        <v>789</v>
      </c>
      <c r="E465" s="256">
        <v>2.77</v>
      </c>
      <c r="F465" s="257">
        <v>1.43</v>
      </c>
      <c r="G465" s="258">
        <v>1.39</v>
      </c>
      <c r="H465" s="305">
        <v>2016</v>
      </c>
      <c r="I465" s="248">
        <v>1.39</v>
      </c>
      <c r="J465" s="248"/>
      <c r="K465" s="248"/>
      <c r="L465" s="248">
        <f>Table1[[#This Row],[Green target threshold]]+Table1[[#This Row],[Green target threshold]]*0.5</f>
        <v>0</v>
      </c>
      <c r="M465" s="248"/>
      <c r="N465" s="248"/>
      <c r="O465" s="248"/>
      <c r="P465" s="248"/>
      <c r="Q465" s="248"/>
      <c r="R465" s="248"/>
      <c r="S465" s="248">
        <f>Table1[[#This Row],[Red target threshold]]-Table1[[#This Row],[Red target threshold]]*0.5</f>
        <v>0</v>
      </c>
      <c r="T465" s="248"/>
      <c r="U465" s="278"/>
    </row>
    <row r="466" spans="1:21" hidden="1" x14ac:dyDescent="0.25">
      <c r="A466" s="271"/>
      <c r="B466" s="173"/>
      <c r="C466" s="173"/>
      <c r="D466" s="173" t="s">
        <v>793</v>
      </c>
      <c r="E466" s="256">
        <v>1.31</v>
      </c>
      <c r="F466" s="257">
        <v>1.31</v>
      </c>
      <c r="G466" s="258">
        <v>1.32</v>
      </c>
      <c r="H466" s="305">
        <v>2016</v>
      </c>
      <c r="I466" s="248">
        <v>1.32</v>
      </c>
      <c r="J466" s="248"/>
      <c r="K466" s="248"/>
      <c r="L466" s="248">
        <f>Table1[[#This Row],[Green target threshold]]+Table1[[#This Row],[Green target threshold]]*0.5</f>
        <v>0</v>
      </c>
      <c r="M466" s="248"/>
      <c r="N466" s="248"/>
      <c r="O466" s="248"/>
      <c r="P466" s="248"/>
      <c r="Q466" s="248"/>
      <c r="R466" s="248"/>
      <c r="S466" s="248">
        <f>Table1[[#This Row],[Red target threshold]]-Table1[[#This Row],[Red target threshold]]*0.5</f>
        <v>0</v>
      </c>
      <c r="T466" s="248"/>
      <c r="U466" s="278"/>
    </row>
    <row r="467" spans="1:21" hidden="1" x14ac:dyDescent="0.25">
      <c r="A467" s="271"/>
      <c r="B467" s="173"/>
      <c r="C467" s="173"/>
      <c r="D467" s="173" t="s">
        <v>791</v>
      </c>
      <c r="E467" s="256">
        <v>0.82</v>
      </c>
      <c r="F467" s="257">
        <v>0.83</v>
      </c>
      <c r="G467" s="258">
        <v>0.82</v>
      </c>
      <c r="H467" s="305">
        <v>2016</v>
      </c>
      <c r="I467" s="248">
        <v>0.82</v>
      </c>
      <c r="J467" s="248"/>
      <c r="K467" s="248"/>
      <c r="L467" s="248">
        <f>Table1[[#This Row],[Green target threshold]]+Table1[[#This Row],[Green target threshold]]*0.5</f>
        <v>0</v>
      </c>
      <c r="M467" s="248"/>
      <c r="N467" s="248"/>
      <c r="O467" s="248"/>
      <c r="P467" s="248"/>
      <c r="Q467" s="248"/>
      <c r="R467" s="248"/>
      <c r="S467" s="248">
        <f>Table1[[#This Row],[Red target threshold]]-Table1[[#This Row],[Red target threshold]]*0.5</f>
        <v>0</v>
      </c>
      <c r="T467" s="248"/>
      <c r="U467" s="278"/>
    </row>
    <row r="468" spans="1:21" hidden="1" x14ac:dyDescent="0.25">
      <c r="A468" s="271"/>
      <c r="B468" s="173"/>
      <c r="C468" s="173"/>
      <c r="D468" s="173" t="s">
        <v>790</v>
      </c>
      <c r="E468" s="256">
        <v>0.39</v>
      </c>
      <c r="F468" s="257">
        <v>0.37</v>
      </c>
      <c r="G468" s="258">
        <v>0.25</v>
      </c>
      <c r="H468" s="305">
        <v>2016</v>
      </c>
      <c r="I468" s="248">
        <v>0.25</v>
      </c>
      <c r="J468" s="248"/>
      <c r="K468" s="248"/>
      <c r="L468" s="248">
        <f>Table1[[#This Row],[Green target threshold]]+Table1[[#This Row],[Green target threshold]]*0.5</f>
        <v>0</v>
      </c>
      <c r="M468" s="248"/>
      <c r="N468" s="248"/>
      <c r="O468" s="248"/>
      <c r="P468" s="248"/>
      <c r="Q468" s="248"/>
      <c r="R468" s="248"/>
      <c r="S468" s="248">
        <f>Table1[[#This Row],[Red target threshold]]-Table1[[#This Row],[Red target threshold]]*0.5</f>
        <v>0</v>
      </c>
      <c r="T468" s="248"/>
      <c r="U468" s="278"/>
    </row>
    <row r="469" spans="1:21" hidden="1" x14ac:dyDescent="0.25">
      <c r="A469" s="271"/>
      <c r="B469" s="173"/>
      <c r="C469" s="173"/>
      <c r="D469" s="173" t="s">
        <v>798</v>
      </c>
      <c r="E469" s="256">
        <v>0.15</v>
      </c>
      <c r="F469" s="257">
        <v>0.16</v>
      </c>
      <c r="G469" s="258">
        <v>0.11</v>
      </c>
      <c r="H469" s="305">
        <v>2016</v>
      </c>
      <c r="I469" s="248">
        <v>0.11</v>
      </c>
      <c r="J469" s="248"/>
      <c r="K469" s="248"/>
      <c r="L469" s="248">
        <f>Table1[[#This Row],[Green target threshold]]+Table1[[#This Row],[Green target threshold]]*0.5</f>
        <v>0</v>
      </c>
      <c r="M469" s="248"/>
      <c r="N469" s="248"/>
      <c r="O469" s="248"/>
      <c r="P469" s="248"/>
      <c r="Q469" s="248"/>
      <c r="R469" s="248"/>
      <c r="S469" s="248">
        <f>Table1[[#This Row],[Red target threshold]]-Table1[[#This Row],[Red target threshold]]*0.5</f>
        <v>0</v>
      </c>
      <c r="T469" s="248"/>
      <c r="U469" s="278"/>
    </row>
    <row r="470" spans="1:21" s="262" customFormat="1" hidden="1" x14ac:dyDescent="0.25">
      <c r="A470" s="293"/>
      <c r="B470" s="290"/>
      <c r="C470" s="290"/>
      <c r="D470" s="290"/>
      <c r="E470" s="291">
        <v>2012</v>
      </c>
      <c r="F470" s="291">
        <v>2013</v>
      </c>
      <c r="G470" s="291">
        <v>2014</v>
      </c>
      <c r="H470" s="291"/>
      <c r="I470" s="291"/>
      <c r="J470" s="291"/>
      <c r="K470" s="291"/>
      <c r="L470" s="291">
        <f>Table1[[#This Row],[Green target threshold]]+Table1[[#This Row],[Green target threshold]]*0.5</f>
        <v>0</v>
      </c>
      <c r="M470" s="291"/>
      <c r="N470" s="291"/>
      <c r="O470" s="291"/>
      <c r="P470" s="291"/>
      <c r="Q470" s="291"/>
      <c r="R470" s="291"/>
      <c r="S470" s="291">
        <f>Table1[[#This Row],[Red target threshold]]-Table1[[#This Row],[Red target threshold]]*0.5</f>
        <v>0</v>
      </c>
      <c r="T470" s="291"/>
      <c r="U470" s="297"/>
    </row>
    <row r="471" spans="1:21" x14ac:dyDescent="0.25">
      <c r="A471" s="302" t="s">
        <v>621</v>
      </c>
      <c r="B471" s="337" t="s">
        <v>657</v>
      </c>
      <c r="C471" s="337" t="s">
        <v>645</v>
      </c>
      <c r="D471" s="336" t="s">
        <v>904</v>
      </c>
      <c r="E471" s="304">
        <v>5.00593781609368</v>
      </c>
      <c r="F471" s="304">
        <v>4.99852018932752</v>
      </c>
      <c r="G471" s="304">
        <v>4.9816855938225997</v>
      </c>
      <c r="H471" s="305">
        <v>2014</v>
      </c>
      <c r="I471" s="305">
        <v>4.9816855938225997</v>
      </c>
      <c r="J471" s="305">
        <v>2015</v>
      </c>
      <c r="K471" s="295">
        <v>4.4921699999999998</v>
      </c>
      <c r="L471" s="295">
        <f>Table1[[#This Row],[Green target threshold]]-Table1[[#This Row],[Green target threshold]]*0.5</f>
        <v>1.5722594999999999</v>
      </c>
      <c r="M471" s="305">
        <f>Table1[[#This Row],[Model reference value]]+Table1[[#This Row],[Model reference value]]*Table1[[#This Row],[Improvement rate]]</f>
        <v>3.1445189999999998</v>
      </c>
      <c r="N471" s="305">
        <v>-0.3</v>
      </c>
      <c r="O471" s="305" t="s">
        <v>1140</v>
      </c>
      <c r="P471" s="305">
        <f>(M471-K471)*0.5+K471</f>
        <v>3.8183444999999998</v>
      </c>
      <c r="Q471" s="305">
        <f>K471</f>
        <v>4.4921699999999998</v>
      </c>
      <c r="R471" s="305">
        <f>K471</f>
        <v>4.4921699999999998</v>
      </c>
      <c r="S471" s="305">
        <f>Table1[[#This Row],[Red target threshold]]+Table1[[#This Row],[Red target threshold]]*0.5</f>
        <v>6.7382549999999997</v>
      </c>
      <c r="T471" s="305"/>
      <c r="U471" s="176" t="s">
        <v>1117</v>
      </c>
    </row>
    <row r="472" spans="1:21" hidden="1" x14ac:dyDescent="0.25">
      <c r="A472" s="271"/>
      <c r="B472" s="173"/>
      <c r="C472" s="173"/>
      <c r="D472" s="173"/>
      <c r="E472" s="253"/>
      <c r="F472" s="254"/>
      <c r="G472" s="255"/>
      <c r="H472" s="305"/>
      <c r="I472" s="248"/>
      <c r="J472" s="248"/>
      <c r="K472" s="248"/>
      <c r="L472" s="248">
        <f>Table1[[#This Row],[Green target threshold]]+Table1[[#This Row],[Green target threshold]]*0.5</f>
        <v>0</v>
      </c>
      <c r="M472" s="248"/>
      <c r="N472" s="248"/>
      <c r="O472" s="248"/>
      <c r="P472" s="248"/>
      <c r="Q472" s="248"/>
      <c r="R472" s="248"/>
      <c r="S472" s="248">
        <f>Table1[[#This Row],[Red target threshold]]-Table1[[#This Row],[Red target threshold]]*0.5</f>
        <v>0</v>
      </c>
      <c r="T472" s="248"/>
      <c r="U472" s="278"/>
    </row>
    <row r="473" spans="1:21" hidden="1" x14ac:dyDescent="0.25">
      <c r="A473" s="271"/>
      <c r="B473" s="173"/>
      <c r="C473" s="173"/>
      <c r="D473" s="173"/>
      <c r="E473" s="253"/>
      <c r="F473" s="254"/>
      <c r="G473" s="255"/>
      <c r="H473" s="305"/>
      <c r="I473" s="248"/>
      <c r="J473" s="248"/>
      <c r="K473" s="248"/>
      <c r="L473" s="248">
        <f>Table1[[#This Row],[Green target threshold]]+Table1[[#This Row],[Green target threshold]]*0.5</f>
        <v>0</v>
      </c>
      <c r="M473" s="248"/>
      <c r="N473" s="248"/>
      <c r="O473" s="248"/>
      <c r="P473" s="248"/>
      <c r="Q473" s="248"/>
      <c r="R473" s="248"/>
      <c r="S473" s="248">
        <f>Table1[[#This Row],[Red target threshold]]-Table1[[#This Row],[Red target threshold]]*0.5</f>
        <v>0</v>
      </c>
      <c r="T473" s="248"/>
      <c r="U473" s="278"/>
    </row>
    <row r="474" spans="1:21" hidden="1" x14ac:dyDescent="0.25">
      <c r="A474" s="271"/>
      <c r="B474" s="173"/>
      <c r="C474" s="173"/>
      <c r="D474" s="173"/>
      <c r="E474" s="253"/>
      <c r="F474" s="254"/>
      <c r="G474" s="255"/>
      <c r="H474" s="305"/>
      <c r="I474" s="248"/>
      <c r="J474" s="248"/>
      <c r="K474" s="248"/>
      <c r="L474" s="248">
        <f>Table1[[#This Row],[Green target threshold]]+Table1[[#This Row],[Green target threshold]]*0.5</f>
        <v>0</v>
      </c>
      <c r="M474" s="248"/>
      <c r="N474" s="248"/>
      <c r="O474" s="248"/>
      <c r="P474" s="248"/>
      <c r="Q474" s="248"/>
      <c r="R474" s="248"/>
      <c r="S474" s="248">
        <f>Table1[[#This Row],[Red target threshold]]-Table1[[#This Row],[Red target threshold]]*0.5</f>
        <v>0</v>
      </c>
      <c r="T474" s="248"/>
      <c r="U474" s="278"/>
    </row>
    <row r="475" spans="1:21" hidden="1" x14ac:dyDescent="0.25">
      <c r="A475" s="271"/>
      <c r="B475" s="173"/>
      <c r="C475" s="173"/>
      <c r="D475" s="173"/>
      <c r="E475" s="253"/>
      <c r="F475" s="254"/>
      <c r="G475" s="255"/>
      <c r="H475" s="305"/>
      <c r="I475" s="248"/>
      <c r="J475" s="248"/>
      <c r="K475" s="248"/>
      <c r="L475" s="248">
        <f>Table1[[#This Row],[Green target threshold]]+Table1[[#This Row],[Green target threshold]]*0.5</f>
        <v>0</v>
      </c>
      <c r="M475" s="248"/>
      <c r="N475" s="248"/>
      <c r="O475" s="248"/>
      <c r="P475" s="248"/>
      <c r="Q475" s="248"/>
      <c r="R475" s="248"/>
      <c r="S475" s="248">
        <f>Table1[[#This Row],[Red target threshold]]-Table1[[#This Row],[Red target threshold]]*0.5</f>
        <v>0</v>
      </c>
      <c r="T475" s="248"/>
      <c r="U475" s="278"/>
    </row>
    <row r="476" spans="1:21" hidden="1" x14ac:dyDescent="0.25">
      <c r="A476" s="271"/>
      <c r="B476" s="173"/>
      <c r="C476" s="173"/>
      <c r="D476" s="173"/>
      <c r="E476" s="253"/>
      <c r="F476" s="254"/>
      <c r="G476" s="255"/>
      <c r="H476" s="305"/>
      <c r="I476" s="248"/>
      <c r="J476" s="248"/>
      <c r="K476" s="248"/>
      <c r="L476" s="248">
        <f>Table1[[#This Row],[Green target threshold]]+Table1[[#This Row],[Green target threshold]]*0.5</f>
        <v>0</v>
      </c>
      <c r="M476" s="248"/>
      <c r="N476" s="248"/>
      <c r="O476" s="248"/>
      <c r="P476" s="248"/>
      <c r="Q476" s="248"/>
      <c r="R476" s="248"/>
      <c r="S476" s="248">
        <f>Table1[[#This Row],[Red target threshold]]-Table1[[#This Row],[Red target threshold]]*0.5</f>
        <v>0</v>
      </c>
      <c r="T476" s="248"/>
      <c r="U476" s="278"/>
    </row>
    <row r="477" spans="1:21" hidden="1" x14ac:dyDescent="0.25">
      <c r="A477" s="271"/>
      <c r="B477" s="173"/>
      <c r="C477" s="173"/>
      <c r="D477" s="173"/>
      <c r="E477" s="256"/>
      <c r="F477" s="257"/>
      <c r="G477" s="258"/>
      <c r="H477" s="305"/>
      <c r="I477" s="248"/>
      <c r="J477" s="248"/>
      <c r="K477" s="248"/>
      <c r="L477" s="248">
        <f>Table1[[#This Row],[Green target threshold]]+Table1[[#This Row],[Green target threshold]]*0.5</f>
        <v>0</v>
      </c>
      <c r="M477" s="248"/>
      <c r="N477" s="248"/>
      <c r="O477" s="248"/>
      <c r="P477" s="248"/>
      <c r="Q477" s="248"/>
      <c r="R477" s="248"/>
      <c r="S477" s="248">
        <f>Table1[[#This Row],[Red target threshold]]-Table1[[#This Row],[Red target threshold]]*0.5</f>
        <v>0</v>
      </c>
      <c r="T477" s="248"/>
      <c r="U477" s="278"/>
    </row>
    <row r="478" spans="1:21" hidden="1" x14ac:dyDescent="0.25">
      <c r="A478" s="271"/>
      <c r="B478" s="173"/>
      <c r="C478" s="173"/>
      <c r="D478" s="173"/>
      <c r="E478" s="256"/>
      <c r="F478" s="257"/>
      <c r="G478" s="258"/>
      <c r="H478" s="305"/>
      <c r="I478" s="248"/>
      <c r="J478" s="248"/>
      <c r="K478" s="248"/>
      <c r="L478" s="248">
        <f>Table1[[#This Row],[Green target threshold]]+Table1[[#This Row],[Green target threshold]]*0.5</f>
        <v>0</v>
      </c>
      <c r="M478" s="248"/>
      <c r="N478" s="248"/>
      <c r="O478" s="248"/>
      <c r="P478" s="248"/>
      <c r="Q478" s="248"/>
      <c r="R478" s="248"/>
      <c r="S478" s="248">
        <f>Table1[[#This Row],[Red target threshold]]-Table1[[#This Row],[Red target threshold]]*0.5</f>
        <v>0</v>
      </c>
      <c r="T478" s="248"/>
      <c r="U478" s="278"/>
    </row>
    <row r="479" spans="1:21" hidden="1" x14ac:dyDescent="0.25">
      <c r="A479" s="271"/>
      <c r="B479" s="173"/>
      <c r="C479" s="173"/>
      <c r="D479" s="173"/>
      <c r="E479" s="256"/>
      <c r="F479" s="257"/>
      <c r="G479" s="258"/>
      <c r="H479" s="305"/>
      <c r="I479" s="248"/>
      <c r="J479" s="248"/>
      <c r="K479" s="248"/>
      <c r="L479" s="248">
        <f>Table1[[#This Row],[Green target threshold]]+Table1[[#This Row],[Green target threshold]]*0.5</f>
        <v>0</v>
      </c>
      <c r="M479" s="248"/>
      <c r="N479" s="248"/>
      <c r="O479" s="248"/>
      <c r="P479" s="248"/>
      <c r="Q479" s="248"/>
      <c r="R479" s="248"/>
      <c r="S479" s="248">
        <f>Table1[[#This Row],[Red target threshold]]-Table1[[#This Row],[Red target threshold]]*0.5</f>
        <v>0</v>
      </c>
      <c r="T479" s="248"/>
      <c r="U479" s="278"/>
    </row>
    <row r="480" spans="1:21" hidden="1" x14ac:dyDescent="0.25">
      <c r="A480" s="271"/>
      <c r="B480" s="173"/>
      <c r="C480" s="173"/>
      <c r="D480" s="173"/>
      <c r="E480" s="256"/>
      <c r="F480" s="257"/>
      <c r="G480" s="258"/>
      <c r="H480" s="305"/>
      <c r="I480" s="248"/>
      <c r="J480" s="248"/>
      <c r="K480" s="248"/>
      <c r="L480" s="248">
        <f>Table1[[#This Row],[Green target threshold]]+Table1[[#This Row],[Green target threshold]]*0.5</f>
        <v>0</v>
      </c>
      <c r="M480" s="248"/>
      <c r="N480" s="248"/>
      <c r="O480" s="248"/>
      <c r="P480" s="248"/>
      <c r="Q480" s="248"/>
      <c r="R480" s="248"/>
      <c r="S480" s="248">
        <f>Table1[[#This Row],[Red target threshold]]-Table1[[#This Row],[Red target threshold]]*0.5</f>
        <v>0</v>
      </c>
      <c r="T480" s="248"/>
      <c r="U480" s="278"/>
    </row>
    <row r="481" spans="1:22" hidden="1" x14ac:dyDescent="0.25">
      <c r="A481" s="271"/>
      <c r="B481" s="173"/>
      <c r="C481" s="173"/>
      <c r="D481" s="173"/>
      <c r="E481" s="256"/>
      <c r="F481" s="257"/>
      <c r="G481" s="258"/>
      <c r="H481" s="305"/>
      <c r="I481" s="248"/>
      <c r="J481" s="248"/>
      <c r="K481" s="248"/>
      <c r="L481" s="248">
        <f>Table1[[#This Row],[Green target threshold]]+Table1[[#This Row],[Green target threshold]]*0.5</f>
        <v>0</v>
      </c>
      <c r="M481" s="248"/>
      <c r="N481" s="248"/>
      <c r="O481" s="248"/>
      <c r="P481" s="248"/>
      <c r="Q481" s="248"/>
      <c r="R481" s="248"/>
      <c r="S481" s="248">
        <f>Table1[[#This Row],[Red target threshold]]-Table1[[#This Row],[Red target threshold]]*0.5</f>
        <v>0</v>
      </c>
      <c r="T481" s="248"/>
      <c r="U481" s="278"/>
    </row>
    <row r="482" spans="1:22" s="262" customFormat="1" hidden="1" x14ac:dyDescent="0.25">
      <c r="A482" s="293"/>
      <c r="B482" s="290"/>
      <c r="C482" s="290"/>
      <c r="D482" s="290"/>
      <c r="E482" s="291"/>
      <c r="F482" s="291"/>
      <c r="G482" s="291">
        <v>2011</v>
      </c>
      <c r="H482" s="291"/>
      <c r="I482" s="291"/>
      <c r="J482" s="291"/>
      <c r="K482" s="291"/>
      <c r="L482" s="291">
        <f>Table1[[#This Row],[Green target threshold]]+Table1[[#This Row],[Green target threshold]]*0.5</f>
        <v>0</v>
      </c>
      <c r="M482" s="291"/>
      <c r="N482" s="291"/>
      <c r="O482" s="291"/>
      <c r="P482" s="291"/>
      <c r="Q482" s="291"/>
      <c r="R482" s="291"/>
      <c r="S482" s="291">
        <f>Table1[[#This Row],[Red target threshold]]-Table1[[#This Row],[Red target threshold]]*0.5</f>
        <v>0</v>
      </c>
      <c r="T482" s="291"/>
      <c r="U482" s="297"/>
    </row>
    <row r="483" spans="1:22" hidden="1" x14ac:dyDescent="0.25">
      <c r="A483" s="327" t="s">
        <v>622</v>
      </c>
      <c r="B483" s="338" t="s">
        <v>505</v>
      </c>
      <c r="C483" s="338" t="s">
        <v>498</v>
      </c>
      <c r="D483" s="336" t="s">
        <v>904</v>
      </c>
      <c r="E483" s="304"/>
      <c r="F483" s="304"/>
      <c r="G483" s="304">
        <v>2.83</v>
      </c>
      <c r="H483" s="305">
        <v>2011</v>
      </c>
      <c r="I483" s="328">
        <v>2.83</v>
      </c>
      <c r="J483" s="328">
        <v>2015</v>
      </c>
      <c r="K483" s="328">
        <v>2.3928400000000001</v>
      </c>
      <c r="L483" s="328">
        <v>2.8439038999999999</v>
      </c>
      <c r="M483" s="328">
        <v>2.9313248999999999</v>
      </c>
      <c r="N483" s="328"/>
      <c r="O483" s="328" t="s">
        <v>985</v>
      </c>
      <c r="P483" s="328">
        <f>3.0217489</f>
        <v>3.0217489</v>
      </c>
      <c r="Q483" s="328">
        <v>3.1915646</v>
      </c>
      <c r="R483" s="328">
        <v>3.1915646</v>
      </c>
      <c r="S483" s="328">
        <v>3.3364218999999999</v>
      </c>
      <c r="T483" s="328" t="s">
        <v>1058</v>
      </c>
      <c r="U483" s="303" t="s">
        <v>875</v>
      </c>
      <c r="V483" s="251" t="s">
        <v>986</v>
      </c>
    </row>
    <row r="484" spans="1:22" hidden="1" x14ac:dyDescent="0.25">
      <c r="A484" s="270"/>
      <c r="B484" s="334"/>
      <c r="C484" s="197"/>
      <c r="D484" s="197"/>
      <c r="E484" s="253"/>
      <c r="F484" s="254"/>
      <c r="G484" s="255"/>
      <c r="H484" s="248"/>
      <c r="I484" s="248"/>
      <c r="J484" s="248"/>
      <c r="K484" s="248"/>
      <c r="L484" s="329">
        <f>Table1[[#This Row],[Green target threshold]]+Table1[[#This Row],[Green target threshold]]*0.5</f>
        <v>0</v>
      </c>
      <c r="M484" s="248"/>
      <c r="N484" s="248"/>
      <c r="O484" s="248"/>
      <c r="P484" s="329"/>
      <c r="Q484" s="329"/>
      <c r="R484" s="329"/>
      <c r="S484" s="329">
        <f>Table1[[#This Row],[Red target threshold]]-Table1[[#This Row],[Red target threshold]]*0.5</f>
        <v>0</v>
      </c>
      <c r="T484" s="248"/>
      <c r="U484" s="283"/>
      <c r="V484" s="251"/>
    </row>
    <row r="485" spans="1:22" hidden="1" x14ac:dyDescent="0.25">
      <c r="A485" s="270"/>
      <c r="B485" s="334"/>
      <c r="C485" s="197"/>
      <c r="D485" s="197"/>
      <c r="E485" s="253"/>
      <c r="F485" s="254"/>
      <c r="G485" s="255"/>
      <c r="H485" s="248"/>
      <c r="I485" s="248"/>
      <c r="J485" s="248"/>
      <c r="K485" s="248"/>
      <c r="L485" s="329">
        <f>Table1[[#This Row],[Green target threshold]]+Table1[[#This Row],[Green target threshold]]*0.5</f>
        <v>0</v>
      </c>
      <c r="M485" s="248"/>
      <c r="N485" s="248"/>
      <c r="O485" s="248"/>
      <c r="P485" s="329"/>
      <c r="Q485" s="329"/>
      <c r="R485" s="329"/>
      <c r="S485" s="329">
        <f>Table1[[#This Row],[Red target threshold]]-Table1[[#This Row],[Red target threshold]]*0.5</f>
        <v>0</v>
      </c>
      <c r="T485" s="248"/>
      <c r="U485" s="283"/>
      <c r="V485" s="251"/>
    </row>
    <row r="486" spans="1:22" hidden="1" x14ac:dyDescent="0.25">
      <c r="A486" s="270"/>
      <c r="B486" s="334"/>
      <c r="C486" s="197"/>
      <c r="D486" s="197"/>
      <c r="E486" s="253"/>
      <c r="F486" s="254"/>
      <c r="G486" s="255"/>
      <c r="H486" s="248"/>
      <c r="I486" s="248"/>
      <c r="J486" s="248"/>
      <c r="K486" s="248"/>
      <c r="L486" s="329">
        <f>Table1[[#This Row],[Green target threshold]]+Table1[[#This Row],[Green target threshold]]*0.5</f>
        <v>0</v>
      </c>
      <c r="M486" s="248"/>
      <c r="N486" s="248"/>
      <c r="O486" s="248"/>
      <c r="P486" s="329"/>
      <c r="Q486" s="329"/>
      <c r="R486" s="329"/>
      <c r="S486" s="329">
        <f>Table1[[#This Row],[Red target threshold]]-Table1[[#This Row],[Red target threshold]]*0.5</f>
        <v>0</v>
      </c>
      <c r="T486" s="248"/>
      <c r="U486" s="283"/>
      <c r="V486" s="251"/>
    </row>
    <row r="487" spans="1:22" hidden="1" x14ac:dyDescent="0.25">
      <c r="A487" s="270"/>
      <c r="B487" s="334"/>
      <c r="C487" s="197"/>
      <c r="D487" s="197"/>
      <c r="E487" s="253"/>
      <c r="F487" s="254"/>
      <c r="G487" s="255"/>
      <c r="H487" s="248"/>
      <c r="I487" s="248"/>
      <c r="J487" s="248"/>
      <c r="K487" s="248"/>
      <c r="L487" s="329">
        <f>Table1[[#This Row],[Green target threshold]]+Table1[[#This Row],[Green target threshold]]*0.5</f>
        <v>0</v>
      </c>
      <c r="M487" s="248"/>
      <c r="N487" s="248"/>
      <c r="O487" s="248"/>
      <c r="P487" s="329"/>
      <c r="Q487" s="329"/>
      <c r="R487" s="329"/>
      <c r="S487" s="329">
        <f>Table1[[#This Row],[Red target threshold]]-Table1[[#This Row],[Red target threshold]]*0.5</f>
        <v>0</v>
      </c>
      <c r="T487" s="248"/>
      <c r="U487" s="283"/>
      <c r="V487" s="251"/>
    </row>
    <row r="488" spans="1:22" hidden="1" x14ac:dyDescent="0.25">
      <c r="A488" s="270"/>
      <c r="B488" s="334"/>
      <c r="C488" s="197"/>
      <c r="D488" s="197"/>
      <c r="E488" s="253"/>
      <c r="F488" s="254"/>
      <c r="G488" s="255"/>
      <c r="H488" s="248"/>
      <c r="I488" s="248"/>
      <c r="J488" s="248"/>
      <c r="K488" s="248"/>
      <c r="L488" s="329">
        <f>Table1[[#This Row],[Green target threshold]]+Table1[[#This Row],[Green target threshold]]*0.5</f>
        <v>0</v>
      </c>
      <c r="M488" s="248"/>
      <c r="N488" s="248"/>
      <c r="O488" s="248"/>
      <c r="P488" s="329"/>
      <c r="Q488" s="329"/>
      <c r="R488" s="329"/>
      <c r="S488" s="329">
        <f>Table1[[#This Row],[Red target threshold]]-Table1[[#This Row],[Red target threshold]]*0.5</f>
        <v>0</v>
      </c>
      <c r="T488" s="248"/>
      <c r="U488" s="283"/>
      <c r="V488" s="251"/>
    </row>
    <row r="489" spans="1:22" hidden="1" x14ac:dyDescent="0.25">
      <c r="A489" s="270"/>
      <c r="B489" s="334"/>
      <c r="C489" s="197"/>
      <c r="D489" s="197"/>
      <c r="E489" s="256"/>
      <c r="F489" s="257"/>
      <c r="G489" s="258"/>
      <c r="H489" s="248"/>
      <c r="I489" s="248"/>
      <c r="J489" s="248"/>
      <c r="K489" s="248"/>
      <c r="L489" s="329">
        <f>Table1[[#This Row],[Green target threshold]]+Table1[[#This Row],[Green target threshold]]*0.5</f>
        <v>0</v>
      </c>
      <c r="M489" s="248"/>
      <c r="N489" s="248"/>
      <c r="O489" s="248"/>
      <c r="P489" s="329"/>
      <c r="Q489" s="329"/>
      <c r="R489" s="329"/>
      <c r="S489" s="329">
        <f>Table1[[#This Row],[Red target threshold]]-Table1[[#This Row],[Red target threshold]]*0.5</f>
        <v>0</v>
      </c>
      <c r="T489" s="248"/>
      <c r="U489" s="283"/>
      <c r="V489" s="251"/>
    </row>
    <row r="490" spans="1:22" hidden="1" x14ac:dyDescent="0.25">
      <c r="A490" s="270"/>
      <c r="B490" s="334"/>
      <c r="C490" s="197"/>
      <c r="D490" s="197"/>
      <c r="E490" s="256"/>
      <c r="F490" s="257"/>
      <c r="G490" s="258"/>
      <c r="H490" s="248"/>
      <c r="I490" s="248"/>
      <c r="J490" s="248"/>
      <c r="K490" s="248"/>
      <c r="L490" s="329">
        <f>Table1[[#This Row],[Green target threshold]]+Table1[[#This Row],[Green target threshold]]*0.5</f>
        <v>0</v>
      </c>
      <c r="M490" s="248"/>
      <c r="N490" s="248"/>
      <c r="O490" s="248"/>
      <c r="P490" s="329"/>
      <c r="Q490" s="329"/>
      <c r="R490" s="329"/>
      <c r="S490" s="329">
        <f>Table1[[#This Row],[Red target threshold]]-Table1[[#This Row],[Red target threshold]]*0.5</f>
        <v>0</v>
      </c>
      <c r="T490" s="248"/>
      <c r="U490" s="283"/>
      <c r="V490" s="251"/>
    </row>
    <row r="491" spans="1:22" hidden="1" x14ac:dyDescent="0.25">
      <c r="A491" s="270"/>
      <c r="B491" s="334"/>
      <c r="C491" s="197"/>
      <c r="D491" s="197"/>
      <c r="E491" s="256"/>
      <c r="F491" s="257"/>
      <c r="G491" s="258"/>
      <c r="H491" s="248"/>
      <c r="I491" s="248"/>
      <c r="J491" s="248"/>
      <c r="K491" s="248"/>
      <c r="L491" s="329">
        <f>Table1[[#This Row],[Green target threshold]]+Table1[[#This Row],[Green target threshold]]*0.5</f>
        <v>0</v>
      </c>
      <c r="M491" s="248"/>
      <c r="N491" s="248"/>
      <c r="O491" s="248"/>
      <c r="P491" s="329"/>
      <c r="Q491" s="329"/>
      <c r="R491" s="329"/>
      <c r="S491" s="329">
        <f>Table1[[#This Row],[Red target threshold]]-Table1[[#This Row],[Red target threshold]]*0.5</f>
        <v>0</v>
      </c>
      <c r="T491" s="248"/>
      <c r="U491" s="283"/>
      <c r="V491" s="251"/>
    </row>
    <row r="492" spans="1:22" hidden="1" x14ac:dyDescent="0.25">
      <c r="A492" s="270"/>
      <c r="B492" s="334"/>
      <c r="C492" s="197"/>
      <c r="D492" s="197"/>
      <c r="E492" s="256"/>
      <c r="F492" s="257"/>
      <c r="G492" s="258"/>
      <c r="H492" s="248"/>
      <c r="I492" s="248"/>
      <c r="J492" s="248"/>
      <c r="K492" s="248"/>
      <c r="L492" s="329">
        <f>Table1[[#This Row],[Green target threshold]]+Table1[[#This Row],[Green target threshold]]*0.5</f>
        <v>0</v>
      </c>
      <c r="M492" s="248"/>
      <c r="N492" s="248"/>
      <c r="O492" s="248"/>
      <c r="P492" s="329"/>
      <c r="Q492" s="329"/>
      <c r="R492" s="329"/>
      <c r="S492" s="329">
        <f>Table1[[#This Row],[Red target threshold]]-Table1[[#This Row],[Red target threshold]]*0.5</f>
        <v>0</v>
      </c>
      <c r="T492" s="248"/>
      <c r="U492" s="283"/>
      <c r="V492" s="251"/>
    </row>
    <row r="493" spans="1:22" hidden="1" x14ac:dyDescent="0.25">
      <c r="A493" s="270"/>
      <c r="B493" s="334"/>
      <c r="C493" s="197"/>
      <c r="D493" s="197"/>
      <c r="E493" s="256"/>
      <c r="F493" s="257"/>
      <c r="G493" s="258"/>
      <c r="H493" s="248"/>
      <c r="I493" s="248"/>
      <c r="J493" s="248"/>
      <c r="K493" s="248"/>
      <c r="L493" s="329">
        <f>Table1[[#This Row],[Green target threshold]]+Table1[[#This Row],[Green target threshold]]*0.5</f>
        <v>0</v>
      </c>
      <c r="M493" s="248"/>
      <c r="N493" s="248"/>
      <c r="O493" s="248"/>
      <c r="P493" s="329"/>
      <c r="Q493" s="329"/>
      <c r="R493" s="329"/>
      <c r="S493" s="329">
        <f>Table1[[#This Row],[Red target threshold]]-Table1[[#This Row],[Red target threshold]]*0.5</f>
        <v>0</v>
      </c>
      <c r="T493" s="248"/>
      <c r="U493" s="283"/>
      <c r="V493" s="251"/>
    </row>
    <row r="494" spans="1:22" s="262" customFormat="1" hidden="1" x14ac:dyDescent="0.25">
      <c r="A494" s="293"/>
      <c r="B494" s="332"/>
      <c r="C494" s="290"/>
      <c r="D494" s="290"/>
      <c r="E494" s="291"/>
      <c r="F494" s="291"/>
      <c r="G494" s="291">
        <v>2011</v>
      </c>
      <c r="H494" s="291"/>
      <c r="I494" s="291"/>
      <c r="J494" s="291"/>
      <c r="K494" s="291"/>
      <c r="L494" s="291">
        <f>Table1[[#This Row],[Green target threshold]]+Table1[[#This Row],[Green target threshold]]*0.5</f>
        <v>0</v>
      </c>
      <c r="M494" s="291"/>
      <c r="N494" s="291"/>
      <c r="O494" s="291"/>
      <c r="P494" s="291"/>
      <c r="Q494" s="291"/>
      <c r="R494" s="273">
        <v>2.6296694999999999</v>
      </c>
      <c r="S494" s="273">
        <f>Table1[[#This Row],[Red target threshold]]-Table1[[#This Row],[Red target threshold]]*0.5</f>
        <v>1.3148347499999999</v>
      </c>
      <c r="T494" s="291"/>
      <c r="U494" s="298"/>
    </row>
    <row r="495" spans="1:22" hidden="1" x14ac:dyDescent="0.25">
      <c r="A495" s="327" t="s">
        <v>623</v>
      </c>
      <c r="B495" s="338" t="s">
        <v>658</v>
      </c>
      <c r="C495" s="338" t="s">
        <v>498</v>
      </c>
      <c r="D495" s="336" t="s">
        <v>904</v>
      </c>
      <c r="E495" s="304"/>
      <c r="F495" s="304"/>
      <c r="G495" s="304">
        <v>1.82</v>
      </c>
      <c r="H495" s="305">
        <v>2011</v>
      </c>
      <c r="I495" s="328">
        <v>1.82</v>
      </c>
      <c r="J495" s="328">
        <v>2015</v>
      </c>
      <c r="K495" s="328">
        <v>2.0063399999999998</v>
      </c>
      <c r="L495" s="328">
        <v>2.2869142999999998</v>
      </c>
      <c r="M495" s="328">
        <v>2.4343537</v>
      </c>
      <c r="N495" s="328"/>
      <c r="O495" s="328" t="s">
        <v>985</v>
      </c>
      <c r="P495" s="328">
        <v>2.4919891000000001</v>
      </c>
      <c r="Q495" s="328">
        <v>2.5244892999999999</v>
      </c>
      <c r="R495" s="328">
        <v>2.5244892999999999</v>
      </c>
      <c r="S495" s="328">
        <v>2.6296694999999999</v>
      </c>
      <c r="T495" s="328" t="s">
        <v>1058</v>
      </c>
      <c r="U495" s="303" t="s">
        <v>875</v>
      </c>
      <c r="V495" s="251" t="s">
        <v>986</v>
      </c>
    </row>
    <row r="496" spans="1:22" hidden="1" x14ac:dyDescent="0.25">
      <c r="A496" s="270"/>
      <c r="B496" s="334"/>
      <c r="C496" s="197"/>
      <c r="D496" s="197"/>
      <c r="E496" s="253"/>
      <c r="F496" s="254"/>
      <c r="G496" s="255"/>
      <c r="H496" s="248"/>
      <c r="I496" s="248"/>
      <c r="J496" s="248"/>
      <c r="K496" s="248"/>
      <c r="L496" s="329">
        <f>Table1[[#This Row],[Green target threshold]]+Table1[[#This Row],[Green target threshold]]*0.5</f>
        <v>0</v>
      </c>
      <c r="M496" s="248"/>
      <c r="N496" s="248"/>
      <c r="O496" s="248"/>
      <c r="P496" s="329"/>
      <c r="Q496" s="329"/>
      <c r="R496" s="329"/>
      <c r="S496" s="329">
        <f>Table1[[#This Row],[Red target threshold]]-Table1[[#This Row],[Red target threshold]]*0.5</f>
        <v>0</v>
      </c>
      <c r="T496" s="248"/>
      <c r="U496" s="283"/>
      <c r="V496" s="251"/>
    </row>
    <row r="497" spans="1:22" hidden="1" x14ac:dyDescent="0.25">
      <c r="A497" s="270"/>
      <c r="B497" s="334"/>
      <c r="C497" s="197"/>
      <c r="D497" s="197"/>
      <c r="E497" s="253"/>
      <c r="F497" s="254"/>
      <c r="G497" s="255"/>
      <c r="H497" s="248"/>
      <c r="I497" s="248"/>
      <c r="J497" s="248"/>
      <c r="K497" s="248"/>
      <c r="L497" s="329">
        <f>Table1[[#This Row],[Green target threshold]]+Table1[[#This Row],[Green target threshold]]*0.5</f>
        <v>0</v>
      </c>
      <c r="M497" s="248"/>
      <c r="N497" s="248"/>
      <c r="O497" s="248"/>
      <c r="P497" s="329"/>
      <c r="Q497" s="329"/>
      <c r="R497" s="329"/>
      <c r="S497" s="329">
        <f>Table1[[#This Row],[Red target threshold]]-Table1[[#This Row],[Red target threshold]]*0.5</f>
        <v>0</v>
      </c>
      <c r="T497" s="248"/>
      <c r="U497" s="283"/>
      <c r="V497" s="251"/>
    </row>
    <row r="498" spans="1:22" hidden="1" x14ac:dyDescent="0.25">
      <c r="A498" s="270"/>
      <c r="B498" s="334"/>
      <c r="C498" s="197"/>
      <c r="D498" s="197"/>
      <c r="E498" s="253"/>
      <c r="F498" s="254"/>
      <c r="G498" s="255"/>
      <c r="H498" s="248"/>
      <c r="I498" s="248"/>
      <c r="J498" s="248"/>
      <c r="K498" s="248"/>
      <c r="L498" s="329">
        <f>Table1[[#This Row],[Green target threshold]]+Table1[[#This Row],[Green target threshold]]*0.5</f>
        <v>0</v>
      </c>
      <c r="M498" s="248"/>
      <c r="N498" s="248"/>
      <c r="O498" s="248"/>
      <c r="P498" s="329"/>
      <c r="Q498" s="329"/>
      <c r="R498" s="329"/>
      <c r="S498" s="329">
        <f>Table1[[#This Row],[Red target threshold]]-Table1[[#This Row],[Red target threshold]]*0.5</f>
        <v>0</v>
      </c>
      <c r="T498" s="248"/>
      <c r="U498" s="283"/>
      <c r="V498" s="251"/>
    </row>
    <row r="499" spans="1:22" hidden="1" x14ac:dyDescent="0.25">
      <c r="A499" s="270"/>
      <c r="B499" s="334"/>
      <c r="C499" s="197"/>
      <c r="D499" s="197"/>
      <c r="E499" s="253"/>
      <c r="F499" s="254"/>
      <c r="G499" s="255"/>
      <c r="H499" s="248"/>
      <c r="I499" s="248"/>
      <c r="J499" s="248"/>
      <c r="K499" s="248"/>
      <c r="L499" s="329">
        <f>Table1[[#This Row],[Green target threshold]]+Table1[[#This Row],[Green target threshold]]*0.5</f>
        <v>0</v>
      </c>
      <c r="M499" s="248"/>
      <c r="N499" s="248"/>
      <c r="O499" s="248"/>
      <c r="P499" s="329"/>
      <c r="Q499" s="329"/>
      <c r="R499" s="329"/>
      <c r="S499" s="329">
        <f>Table1[[#This Row],[Red target threshold]]-Table1[[#This Row],[Red target threshold]]*0.5</f>
        <v>0</v>
      </c>
      <c r="T499" s="248"/>
      <c r="U499" s="283"/>
      <c r="V499" s="251"/>
    </row>
    <row r="500" spans="1:22" hidden="1" x14ac:dyDescent="0.25">
      <c r="A500" s="270"/>
      <c r="B500" s="334"/>
      <c r="C500" s="197"/>
      <c r="D500" s="197"/>
      <c r="E500" s="253"/>
      <c r="F500" s="254"/>
      <c r="G500" s="255"/>
      <c r="H500" s="248"/>
      <c r="I500" s="248"/>
      <c r="J500" s="248"/>
      <c r="K500" s="248"/>
      <c r="L500" s="329">
        <f>Table1[[#This Row],[Green target threshold]]+Table1[[#This Row],[Green target threshold]]*0.5</f>
        <v>0</v>
      </c>
      <c r="M500" s="248"/>
      <c r="N500" s="248"/>
      <c r="O500" s="248"/>
      <c r="P500" s="329"/>
      <c r="Q500" s="329"/>
      <c r="R500" s="329"/>
      <c r="S500" s="329">
        <f>Table1[[#This Row],[Red target threshold]]-Table1[[#This Row],[Red target threshold]]*0.5</f>
        <v>0</v>
      </c>
      <c r="T500" s="248"/>
      <c r="U500" s="283"/>
      <c r="V500" s="251"/>
    </row>
    <row r="501" spans="1:22" hidden="1" x14ac:dyDescent="0.25">
      <c r="A501" s="270"/>
      <c r="B501" s="334"/>
      <c r="C501" s="197"/>
      <c r="D501" s="197"/>
      <c r="E501" s="256"/>
      <c r="F501" s="257"/>
      <c r="G501" s="258"/>
      <c r="H501" s="248"/>
      <c r="I501" s="248"/>
      <c r="J501" s="248"/>
      <c r="K501" s="248"/>
      <c r="L501" s="329">
        <f>Table1[[#This Row],[Green target threshold]]+Table1[[#This Row],[Green target threshold]]*0.5</f>
        <v>0</v>
      </c>
      <c r="M501" s="248"/>
      <c r="N501" s="248"/>
      <c r="O501" s="248"/>
      <c r="P501" s="329"/>
      <c r="Q501" s="329"/>
      <c r="R501" s="329"/>
      <c r="S501" s="329">
        <f>Table1[[#This Row],[Red target threshold]]-Table1[[#This Row],[Red target threshold]]*0.5</f>
        <v>0</v>
      </c>
      <c r="T501" s="248"/>
      <c r="U501" s="283"/>
      <c r="V501" s="251"/>
    </row>
    <row r="502" spans="1:22" hidden="1" x14ac:dyDescent="0.25">
      <c r="A502" s="270"/>
      <c r="B502" s="334"/>
      <c r="C502" s="197"/>
      <c r="D502" s="197"/>
      <c r="E502" s="256"/>
      <c r="F502" s="257"/>
      <c r="G502" s="258"/>
      <c r="H502" s="248"/>
      <c r="I502" s="248"/>
      <c r="J502" s="248"/>
      <c r="K502" s="248"/>
      <c r="L502" s="329">
        <f>Table1[[#This Row],[Green target threshold]]+Table1[[#This Row],[Green target threshold]]*0.5</f>
        <v>0</v>
      </c>
      <c r="M502" s="248"/>
      <c r="N502" s="248"/>
      <c r="O502" s="248"/>
      <c r="P502" s="329"/>
      <c r="Q502" s="329"/>
      <c r="R502" s="329"/>
      <c r="S502" s="329">
        <f>Table1[[#This Row],[Red target threshold]]-Table1[[#This Row],[Red target threshold]]*0.5</f>
        <v>0</v>
      </c>
      <c r="T502" s="248"/>
      <c r="U502" s="283"/>
      <c r="V502" s="251"/>
    </row>
    <row r="503" spans="1:22" hidden="1" x14ac:dyDescent="0.25">
      <c r="A503" s="270"/>
      <c r="B503" s="334"/>
      <c r="C503" s="197"/>
      <c r="D503" s="197"/>
      <c r="E503" s="256"/>
      <c r="F503" s="257"/>
      <c r="G503" s="258"/>
      <c r="H503" s="248"/>
      <c r="I503" s="248"/>
      <c r="J503" s="248"/>
      <c r="K503" s="248"/>
      <c r="L503" s="329">
        <f>Table1[[#This Row],[Green target threshold]]+Table1[[#This Row],[Green target threshold]]*0.5</f>
        <v>0</v>
      </c>
      <c r="M503" s="248"/>
      <c r="N503" s="248"/>
      <c r="O503" s="248"/>
      <c r="P503" s="329"/>
      <c r="Q503" s="329"/>
      <c r="R503" s="329"/>
      <c r="S503" s="329">
        <f>Table1[[#This Row],[Red target threshold]]-Table1[[#This Row],[Red target threshold]]*0.5</f>
        <v>0</v>
      </c>
      <c r="T503" s="248"/>
      <c r="U503" s="283"/>
      <c r="V503" s="251"/>
    </row>
    <row r="504" spans="1:22" hidden="1" x14ac:dyDescent="0.25">
      <c r="A504" s="270"/>
      <c r="B504" s="334"/>
      <c r="C504" s="197"/>
      <c r="D504" s="197"/>
      <c r="E504" s="256"/>
      <c r="F504" s="257"/>
      <c r="G504" s="258"/>
      <c r="H504" s="248"/>
      <c r="I504" s="248"/>
      <c r="J504" s="248"/>
      <c r="K504" s="248"/>
      <c r="L504" s="329">
        <f>Table1[[#This Row],[Green target threshold]]+Table1[[#This Row],[Green target threshold]]*0.5</f>
        <v>0</v>
      </c>
      <c r="M504" s="248"/>
      <c r="N504" s="248"/>
      <c r="O504" s="248"/>
      <c r="P504" s="329"/>
      <c r="Q504" s="329"/>
      <c r="R504" s="329"/>
      <c r="S504" s="329">
        <f>Table1[[#This Row],[Red target threshold]]-Table1[[#This Row],[Red target threshold]]*0.5</f>
        <v>0</v>
      </c>
      <c r="T504" s="248"/>
      <c r="U504" s="283"/>
      <c r="V504" s="251"/>
    </row>
    <row r="505" spans="1:22" hidden="1" x14ac:dyDescent="0.25">
      <c r="A505" s="270"/>
      <c r="B505" s="334"/>
      <c r="C505" s="197"/>
      <c r="D505" s="197"/>
      <c r="E505" s="256"/>
      <c r="F505" s="257"/>
      <c r="G505" s="258"/>
      <c r="H505" s="248"/>
      <c r="I505" s="248"/>
      <c r="J505" s="248"/>
      <c r="K505" s="248"/>
      <c r="L505" s="329">
        <f>Table1[[#This Row],[Green target threshold]]+Table1[[#This Row],[Green target threshold]]*0.5</f>
        <v>0</v>
      </c>
      <c r="M505" s="248"/>
      <c r="N505" s="248"/>
      <c r="O505" s="248"/>
      <c r="P505" s="329"/>
      <c r="Q505" s="329"/>
      <c r="R505" s="329"/>
      <c r="S505" s="329">
        <f>Table1[[#This Row],[Red target threshold]]-Table1[[#This Row],[Red target threshold]]*0.5</f>
        <v>0</v>
      </c>
      <c r="T505" s="248"/>
      <c r="U505" s="283"/>
      <c r="V505" s="251"/>
    </row>
    <row r="506" spans="1:22" s="262" customFormat="1" hidden="1" x14ac:dyDescent="0.25">
      <c r="A506" s="293"/>
      <c r="B506" s="332"/>
      <c r="C506" s="290"/>
      <c r="D506" s="290"/>
      <c r="E506" s="291">
        <v>2005</v>
      </c>
      <c r="F506" s="291">
        <v>2010</v>
      </c>
      <c r="G506" s="291">
        <v>2020</v>
      </c>
      <c r="H506" s="291"/>
      <c r="I506" s="291"/>
      <c r="J506" s="291"/>
      <c r="K506" s="291"/>
      <c r="L506" s="291">
        <f>Table1[[#This Row],[Green target threshold]]+Table1[[#This Row],[Green target threshold]]*0.5</f>
        <v>0</v>
      </c>
      <c r="M506" s="291"/>
      <c r="N506" s="291"/>
      <c r="O506" s="291"/>
      <c r="P506" s="291"/>
      <c r="Q506" s="291"/>
      <c r="R506" s="291"/>
      <c r="S506" s="291">
        <f>Table1[[#This Row],[Red target threshold]]-Table1[[#This Row],[Red target threshold]]*0.5</f>
        <v>0</v>
      </c>
      <c r="T506" s="291"/>
      <c r="U506" s="297"/>
    </row>
    <row r="507" spans="1:22" hidden="1" x14ac:dyDescent="0.25">
      <c r="A507" s="327" t="s">
        <v>624</v>
      </c>
      <c r="B507" s="338" t="s">
        <v>1029</v>
      </c>
      <c r="C507" s="338" t="s">
        <v>499</v>
      </c>
      <c r="D507" s="336" t="s">
        <v>1083</v>
      </c>
      <c r="E507" s="304">
        <v>0.91300000000000003</v>
      </c>
      <c r="F507" s="304">
        <v>0.98899999999999999</v>
      </c>
      <c r="G507" s="304">
        <v>1.2410000000000001</v>
      </c>
      <c r="H507" s="305">
        <v>2020</v>
      </c>
      <c r="I507" s="328">
        <v>1.2410000000000001</v>
      </c>
      <c r="J507" s="328">
        <v>2015</v>
      </c>
      <c r="K507" s="328">
        <v>1.12751</v>
      </c>
      <c r="L507" s="328">
        <v>1.466178</v>
      </c>
      <c r="M507" s="328">
        <v>1.4725360000000001</v>
      </c>
      <c r="N507" s="328"/>
      <c r="O507" s="328" t="s">
        <v>985</v>
      </c>
      <c r="P507" s="328">
        <v>1.4947785</v>
      </c>
      <c r="Q507" s="328">
        <v>1.5548980999999999</v>
      </c>
      <c r="R507" s="328">
        <v>1.5548980999999999</v>
      </c>
      <c r="S507" s="328">
        <v>1.6029602000000001</v>
      </c>
      <c r="T507" s="328" t="s">
        <v>1118</v>
      </c>
      <c r="U507" s="303" t="s">
        <v>986</v>
      </c>
    </row>
    <row r="508" spans="1:22" hidden="1" x14ac:dyDescent="0.25">
      <c r="A508" s="270"/>
      <c r="B508" s="197"/>
      <c r="C508" s="197"/>
      <c r="D508" s="197"/>
      <c r="E508" s="253"/>
      <c r="F508" s="254"/>
      <c r="G508" s="255"/>
      <c r="H508" s="305"/>
      <c r="I508" s="248"/>
      <c r="J508" s="248"/>
      <c r="K508" s="248"/>
      <c r="L508" s="329">
        <f>Table1[[#This Row],[Green target threshold]]+Table1[[#This Row],[Green target threshold]]*0.5</f>
        <v>0</v>
      </c>
      <c r="M508" s="248"/>
      <c r="N508" s="248"/>
      <c r="O508" s="248"/>
      <c r="P508" s="329"/>
      <c r="Q508" s="329"/>
      <c r="R508" s="329"/>
      <c r="S508" s="329">
        <f>Table1[[#This Row],[Red target threshold]]-Table1[[#This Row],[Red target threshold]]*0.5</f>
        <v>0</v>
      </c>
      <c r="T508" s="248"/>
      <c r="U508" s="283"/>
    </row>
    <row r="509" spans="1:22" hidden="1" x14ac:dyDescent="0.25">
      <c r="A509" s="270"/>
      <c r="B509" s="197"/>
      <c r="C509" s="197"/>
      <c r="D509" s="197"/>
      <c r="E509" s="253"/>
      <c r="F509" s="254"/>
      <c r="G509" s="255"/>
      <c r="H509" s="305"/>
      <c r="I509" s="248"/>
      <c r="J509" s="248"/>
      <c r="K509" s="248"/>
      <c r="L509" s="329">
        <f>Table1[[#This Row],[Green target threshold]]+Table1[[#This Row],[Green target threshold]]*0.5</f>
        <v>0</v>
      </c>
      <c r="M509" s="248"/>
      <c r="N509" s="248"/>
      <c r="O509" s="248"/>
      <c r="P509" s="329"/>
      <c r="Q509" s="329"/>
      <c r="R509" s="329"/>
      <c r="S509" s="329">
        <f>Table1[[#This Row],[Red target threshold]]-Table1[[#This Row],[Red target threshold]]*0.5</f>
        <v>0</v>
      </c>
      <c r="T509" s="248"/>
      <c r="U509" s="283"/>
    </row>
    <row r="510" spans="1:22" hidden="1" x14ac:dyDescent="0.25">
      <c r="A510" s="270"/>
      <c r="B510" s="197"/>
      <c r="C510" s="197"/>
      <c r="D510" s="197"/>
      <c r="E510" s="253"/>
      <c r="F510" s="254"/>
      <c r="G510" s="255"/>
      <c r="H510" s="305"/>
      <c r="I510" s="248"/>
      <c r="J510" s="248"/>
      <c r="K510" s="248"/>
      <c r="L510" s="329">
        <f>Table1[[#This Row],[Green target threshold]]+Table1[[#This Row],[Green target threshold]]*0.5</f>
        <v>0</v>
      </c>
      <c r="M510" s="248"/>
      <c r="N510" s="248"/>
      <c r="O510" s="248"/>
      <c r="P510" s="329"/>
      <c r="Q510" s="329"/>
      <c r="R510" s="329"/>
      <c r="S510" s="329">
        <f>Table1[[#This Row],[Red target threshold]]-Table1[[#This Row],[Red target threshold]]*0.5</f>
        <v>0</v>
      </c>
      <c r="T510" s="248"/>
      <c r="U510" s="283"/>
    </row>
    <row r="511" spans="1:22" hidden="1" x14ac:dyDescent="0.25">
      <c r="A511" s="270"/>
      <c r="B511" s="197"/>
      <c r="C511" s="197"/>
      <c r="D511" s="197"/>
      <c r="E511" s="253"/>
      <c r="F511" s="254"/>
      <c r="G511" s="255"/>
      <c r="H511" s="305"/>
      <c r="I511" s="248"/>
      <c r="J511" s="248"/>
      <c r="K511" s="248"/>
      <c r="L511" s="329">
        <f>Table1[[#This Row],[Green target threshold]]+Table1[[#This Row],[Green target threshold]]*0.5</f>
        <v>0</v>
      </c>
      <c r="M511" s="248"/>
      <c r="N511" s="248"/>
      <c r="O511" s="248"/>
      <c r="P511" s="329"/>
      <c r="Q511" s="329"/>
      <c r="R511" s="329"/>
      <c r="S511" s="329">
        <f>Table1[[#This Row],[Red target threshold]]-Table1[[#This Row],[Red target threshold]]*0.5</f>
        <v>0</v>
      </c>
      <c r="T511" s="248"/>
      <c r="U511" s="283"/>
    </row>
    <row r="512" spans="1:22" hidden="1" x14ac:dyDescent="0.25">
      <c r="A512" s="270"/>
      <c r="B512" s="197"/>
      <c r="C512" s="197"/>
      <c r="D512" s="197"/>
      <c r="E512" s="253"/>
      <c r="F512" s="254"/>
      <c r="G512" s="255"/>
      <c r="H512" s="305"/>
      <c r="I512" s="248"/>
      <c r="J512" s="248"/>
      <c r="K512" s="248"/>
      <c r="L512" s="329">
        <f>Table1[[#This Row],[Green target threshold]]+Table1[[#This Row],[Green target threshold]]*0.5</f>
        <v>0</v>
      </c>
      <c r="M512" s="248"/>
      <c r="N512" s="248"/>
      <c r="O512" s="248"/>
      <c r="P512" s="329"/>
      <c r="Q512" s="329"/>
      <c r="R512" s="329"/>
      <c r="S512" s="329">
        <f>Table1[[#This Row],[Red target threshold]]-Table1[[#This Row],[Red target threshold]]*0.5</f>
        <v>0</v>
      </c>
      <c r="T512" s="248"/>
      <c r="U512" s="283"/>
    </row>
    <row r="513" spans="1:22" hidden="1" x14ac:dyDescent="0.25">
      <c r="A513" s="270"/>
      <c r="B513" s="197"/>
      <c r="C513" s="197"/>
      <c r="D513" s="197"/>
      <c r="E513" s="256"/>
      <c r="F513" s="257"/>
      <c r="G513" s="258"/>
      <c r="H513" s="305"/>
      <c r="I513" s="248"/>
      <c r="J513" s="248"/>
      <c r="K513" s="248"/>
      <c r="L513" s="329">
        <f>Table1[[#This Row],[Green target threshold]]+Table1[[#This Row],[Green target threshold]]*0.5</f>
        <v>0</v>
      </c>
      <c r="M513" s="248"/>
      <c r="N513" s="248"/>
      <c r="O513" s="248"/>
      <c r="P513" s="329"/>
      <c r="Q513" s="329"/>
      <c r="R513" s="329"/>
      <c r="S513" s="329">
        <f>Table1[[#This Row],[Red target threshold]]-Table1[[#This Row],[Red target threshold]]*0.5</f>
        <v>0</v>
      </c>
      <c r="T513" s="248"/>
      <c r="U513" s="283"/>
    </row>
    <row r="514" spans="1:22" hidden="1" x14ac:dyDescent="0.25">
      <c r="A514" s="270"/>
      <c r="B514" s="197"/>
      <c r="C514" s="197"/>
      <c r="D514" s="197"/>
      <c r="E514" s="256"/>
      <c r="F514" s="257"/>
      <c r="G514" s="258"/>
      <c r="H514" s="305"/>
      <c r="I514" s="248"/>
      <c r="J514" s="248"/>
      <c r="K514" s="248"/>
      <c r="L514" s="329">
        <f>Table1[[#This Row],[Green target threshold]]+Table1[[#This Row],[Green target threshold]]*0.5</f>
        <v>0</v>
      </c>
      <c r="M514" s="248"/>
      <c r="N514" s="248"/>
      <c r="O514" s="248"/>
      <c r="P514" s="329"/>
      <c r="Q514" s="329"/>
      <c r="R514" s="329"/>
      <c r="S514" s="329">
        <f>Table1[[#This Row],[Red target threshold]]-Table1[[#This Row],[Red target threshold]]*0.5</f>
        <v>0</v>
      </c>
      <c r="T514" s="248"/>
      <c r="U514" s="283"/>
    </row>
    <row r="515" spans="1:22" hidden="1" x14ac:dyDescent="0.25">
      <c r="A515" s="270"/>
      <c r="B515" s="197"/>
      <c r="C515" s="197"/>
      <c r="D515" s="197"/>
      <c r="E515" s="256"/>
      <c r="F515" s="257"/>
      <c r="G515" s="258"/>
      <c r="H515" s="305"/>
      <c r="I515" s="248"/>
      <c r="J515" s="248"/>
      <c r="K515" s="248"/>
      <c r="L515" s="329">
        <f>Table1[[#This Row],[Green target threshold]]+Table1[[#This Row],[Green target threshold]]*0.5</f>
        <v>0</v>
      </c>
      <c r="M515" s="248"/>
      <c r="N515" s="248"/>
      <c r="O515" s="248"/>
      <c r="P515" s="329"/>
      <c r="Q515" s="329"/>
      <c r="R515" s="329"/>
      <c r="S515" s="329">
        <f>Table1[[#This Row],[Red target threshold]]-Table1[[#This Row],[Red target threshold]]*0.5</f>
        <v>0</v>
      </c>
      <c r="T515" s="248"/>
      <c r="U515" s="283"/>
    </row>
    <row r="516" spans="1:22" hidden="1" x14ac:dyDescent="0.25">
      <c r="A516" s="270"/>
      <c r="B516" s="197"/>
      <c r="C516" s="197"/>
      <c r="D516" s="197"/>
      <c r="E516" s="256"/>
      <c r="F516" s="257"/>
      <c r="G516" s="258"/>
      <c r="H516" s="305"/>
      <c r="I516" s="248"/>
      <c r="J516" s="248"/>
      <c r="K516" s="248"/>
      <c r="L516" s="329">
        <f>Table1[[#This Row],[Green target threshold]]+Table1[[#This Row],[Green target threshold]]*0.5</f>
        <v>0</v>
      </c>
      <c r="M516" s="248"/>
      <c r="N516" s="248"/>
      <c r="O516" s="248"/>
      <c r="P516" s="329"/>
      <c r="Q516" s="329"/>
      <c r="R516" s="329"/>
      <c r="S516" s="329">
        <f>Table1[[#This Row],[Red target threshold]]-Table1[[#This Row],[Red target threshold]]*0.5</f>
        <v>0</v>
      </c>
      <c r="T516" s="248"/>
      <c r="U516" s="283"/>
    </row>
    <row r="517" spans="1:22" hidden="1" x14ac:dyDescent="0.25">
      <c r="A517" s="270"/>
      <c r="B517" s="197"/>
      <c r="C517" s="197"/>
      <c r="D517" s="197"/>
      <c r="E517" s="256"/>
      <c r="F517" s="257"/>
      <c r="G517" s="258"/>
      <c r="H517" s="305"/>
      <c r="I517" s="248"/>
      <c r="J517" s="248"/>
      <c r="K517" s="248"/>
      <c r="L517" s="329">
        <f>Table1[[#This Row],[Green target threshold]]+Table1[[#This Row],[Green target threshold]]*0.5</f>
        <v>0</v>
      </c>
      <c r="M517" s="248"/>
      <c r="N517" s="248"/>
      <c r="O517" s="248"/>
      <c r="P517" s="329"/>
      <c r="Q517" s="329"/>
      <c r="R517" s="329"/>
      <c r="S517" s="329">
        <f>Table1[[#This Row],[Red target threshold]]-Table1[[#This Row],[Red target threshold]]*0.5</f>
        <v>0</v>
      </c>
      <c r="T517" s="248"/>
      <c r="U517" s="283"/>
    </row>
    <row r="518" spans="1:22" s="262" customFormat="1" hidden="1" x14ac:dyDescent="0.25">
      <c r="A518" s="293"/>
      <c r="B518" s="290"/>
      <c r="C518" s="290"/>
      <c r="D518" s="290"/>
      <c r="E518" s="291">
        <v>2014</v>
      </c>
      <c r="F518" s="291">
        <v>2015</v>
      </c>
      <c r="G518" s="291">
        <v>2016</v>
      </c>
      <c r="H518" s="291"/>
      <c r="I518" s="291"/>
      <c r="J518" s="291"/>
      <c r="K518" s="291"/>
      <c r="L518" s="291">
        <f>Table1[[#This Row],[Green target threshold]]+Table1[[#This Row],[Green target threshold]]*0.5</f>
        <v>0</v>
      </c>
      <c r="M518" s="291"/>
      <c r="N518" s="291"/>
      <c r="O518" s="291"/>
      <c r="P518" s="291"/>
      <c r="Q518" s="291"/>
      <c r="R518" s="291"/>
      <c r="S518" s="291">
        <f>Table1[[#This Row],[Red target threshold]]-Table1[[#This Row],[Red target threshold]]*0.5</f>
        <v>0</v>
      </c>
      <c r="T518" s="291"/>
      <c r="U518" s="297"/>
    </row>
    <row r="519" spans="1:22" x14ac:dyDescent="0.25">
      <c r="A519" s="302" t="s">
        <v>879</v>
      </c>
      <c r="B519" s="337" t="s">
        <v>881</v>
      </c>
      <c r="C519" s="337" t="s">
        <v>473</v>
      </c>
      <c r="D519" s="336" t="s">
        <v>904</v>
      </c>
      <c r="E519" s="304">
        <v>30.769568040539401</v>
      </c>
      <c r="F519" s="304">
        <v>30.744264405397601</v>
      </c>
      <c r="G519" s="304">
        <v>30.716420940782999</v>
      </c>
      <c r="H519" s="305">
        <v>2016</v>
      </c>
      <c r="I519" s="305">
        <v>30.716420940782999</v>
      </c>
      <c r="J519" s="305">
        <v>2015</v>
      </c>
      <c r="K519" s="295">
        <v>30.037500000000001</v>
      </c>
      <c r="L519" s="295">
        <f>Table1[[#This Row],[Green target threshold]]+Table1[[#This Row],[Green target threshold]]*0.5</f>
        <v>58.573124999999997</v>
      </c>
      <c r="M519" s="305">
        <f>Table1[[#This Row],[Model reference value]]+Table1[[#This Row],[Model reference value]]*Table1[[#This Row],[Improvement rate]]</f>
        <v>39.048749999999998</v>
      </c>
      <c r="N519" s="305">
        <v>0.3</v>
      </c>
      <c r="O519" s="305" t="s">
        <v>1140</v>
      </c>
      <c r="P519" s="305">
        <f>(M519-K519)*0.5+K519</f>
        <v>34.543125000000003</v>
      </c>
      <c r="Q519" s="305">
        <f>K519</f>
        <v>30.037500000000001</v>
      </c>
      <c r="R519" s="305">
        <f>K519</f>
        <v>30.037500000000001</v>
      </c>
      <c r="S519" s="305">
        <f>Table1[[#This Row],[Red target threshold]]-Table1[[#This Row],[Red target threshold]]*0.5</f>
        <v>15.018750000000001</v>
      </c>
      <c r="T519" s="305"/>
      <c r="U519" s="303" t="s">
        <v>687</v>
      </c>
      <c r="V519" s="176" t="s">
        <v>936</v>
      </c>
    </row>
    <row r="520" spans="1:22" hidden="1" x14ac:dyDescent="0.25">
      <c r="A520" s="271"/>
      <c r="B520" s="173"/>
      <c r="C520" s="173"/>
      <c r="D520" s="173" t="s">
        <v>668</v>
      </c>
      <c r="E520" s="253">
        <v>74.110764433268599</v>
      </c>
      <c r="F520" s="254">
        <v>74.104579781831006</v>
      </c>
      <c r="G520" s="255">
        <v>74.098395130393499</v>
      </c>
      <c r="H520" s="305">
        <v>2016</v>
      </c>
      <c r="I520" s="248">
        <v>74.098395130393499</v>
      </c>
      <c r="J520" s="248"/>
      <c r="K520" s="248"/>
      <c r="L520" s="248">
        <f>Table1[[#This Row],[Green target threshold]]+Table1[[#This Row],[Green target threshold]]*0.5</f>
        <v>0</v>
      </c>
      <c r="M520" s="248"/>
      <c r="N520" s="248"/>
      <c r="O520" s="248"/>
      <c r="P520" s="248"/>
      <c r="Q520" s="248"/>
      <c r="R520" s="248"/>
      <c r="S520" s="248">
        <f>Table1[[#This Row],[Red target threshold]]-Table1[[#This Row],[Red target threshold]]*0.5</f>
        <v>0</v>
      </c>
      <c r="T520" s="248"/>
      <c r="U520" s="278"/>
    </row>
    <row r="521" spans="1:22" hidden="1" x14ac:dyDescent="0.25">
      <c r="A521" s="271"/>
      <c r="B521" s="173"/>
      <c r="C521" s="173"/>
      <c r="D521" s="173" t="s">
        <v>669</v>
      </c>
      <c r="E521" s="253">
        <v>73.111981309026305</v>
      </c>
      <c r="F521" s="254">
        <v>73.107169885821506</v>
      </c>
      <c r="G521" s="255">
        <v>73.107169885821506</v>
      </c>
      <c r="H521" s="305">
        <v>2016</v>
      </c>
      <c r="I521" s="248">
        <v>73.107169885821506</v>
      </c>
      <c r="J521" s="248"/>
      <c r="K521" s="248"/>
      <c r="L521" s="248">
        <f>Table1[[#This Row],[Green target threshold]]+Table1[[#This Row],[Green target threshold]]*0.5</f>
        <v>0</v>
      </c>
      <c r="M521" s="248"/>
      <c r="N521" s="248"/>
      <c r="O521" s="248"/>
      <c r="P521" s="248"/>
      <c r="Q521" s="248"/>
      <c r="R521" s="248"/>
      <c r="S521" s="248">
        <f>Table1[[#This Row],[Red target threshold]]-Table1[[#This Row],[Red target threshold]]*0.5</f>
        <v>0</v>
      </c>
      <c r="T521" s="248"/>
      <c r="U521" s="278"/>
    </row>
    <row r="522" spans="1:22" hidden="1" x14ac:dyDescent="0.25">
      <c r="A522" s="271"/>
      <c r="B522" s="173"/>
      <c r="C522" s="173"/>
      <c r="D522" s="173" t="s">
        <v>670</v>
      </c>
      <c r="E522" s="253">
        <v>72.015374896486705</v>
      </c>
      <c r="F522" s="254">
        <v>72.275624181636999</v>
      </c>
      <c r="G522" s="255">
        <v>72.484536714605994</v>
      </c>
      <c r="H522" s="305">
        <v>2016</v>
      </c>
      <c r="I522" s="248">
        <v>72.484536714605994</v>
      </c>
      <c r="J522" s="248"/>
      <c r="K522" s="248"/>
      <c r="L522" s="248">
        <f>Table1[[#This Row],[Green target threshold]]+Table1[[#This Row],[Green target threshold]]*0.5</f>
        <v>0</v>
      </c>
      <c r="M522" s="248"/>
      <c r="N522" s="248"/>
      <c r="O522" s="248"/>
      <c r="P522" s="248"/>
      <c r="Q522" s="248"/>
      <c r="R522" s="248"/>
      <c r="S522" s="248">
        <f>Table1[[#This Row],[Red target threshold]]-Table1[[#This Row],[Red target threshold]]*0.5</f>
        <v>0</v>
      </c>
      <c r="T522" s="248"/>
      <c r="U522" s="278"/>
    </row>
    <row r="523" spans="1:22" hidden="1" x14ac:dyDescent="0.25">
      <c r="A523" s="271"/>
      <c r="B523" s="173"/>
      <c r="C523" s="173"/>
      <c r="D523" s="173" t="s">
        <v>671</v>
      </c>
      <c r="E523" s="253">
        <v>68.922933392256496</v>
      </c>
      <c r="F523" s="254">
        <v>68.922933392256496</v>
      </c>
      <c r="G523" s="255">
        <v>68.922933392256496</v>
      </c>
      <c r="H523" s="305">
        <v>2016</v>
      </c>
      <c r="I523" s="248">
        <v>68.922933392256496</v>
      </c>
      <c r="J523" s="248"/>
      <c r="K523" s="248"/>
      <c r="L523" s="248">
        <f>Table1[[#This Row],[Green target threshold]]+Table1[[#This Row],[Green target threshold]]*0.5</f>
        <v>0</v>
      </c>
      <c r="M523" s="248"/>
      <c r="N523" s="248"/>
      <c r="O523" s="248"/>
      <c r="P523" s="248"/>
      <c r="Q523" s="248"/>
      <c r="R523" s="248"/>
      <c r="S523" s="248">
        <f>Table1[[#This Row],[Red target threshold]]-Table1[[#This Row],[Red target threshold]]*0.5</f>
        <v>0</v>
      </c>
      <c r="T523" s="248"/>
      <c r="U523" s="278"/>
    </row>
    <row r="524" spans="1:22" hidden="1" x14ac:dyDescent="0.25">
      <c r="A524" s="271"/>
      <c r="B524" s="173"/>
      <c r="C524" s="173"/>
      <c r="D524" s="173" t="s">
        <v>672</v>
      </c>
      <c r="E524" s="253">
        <v>67.511187889971097</v>
      </c>
      <c r="F524" s="254">
        <v>67.554405722112307</v>
      </c>
      <c r="G524" s="255">
        <v>67.597623554253502</v>
      </c>
      <c r="H524" s="305">
        <v>2016</v>
      </c>
      <c r="I524" s="248">
        <v>67.597623554253502</v>
      </c>
      <c r="J524" s="248"/>
      <c r="K524" s="248"/>
      <c r="L524" s="248">
        <f>Table1[[#This Row],[Green target threshold]]+Table1[[#This Row],[Green target threshold]]*0.5</f>
        <v>0</v>
      </c>
      <c r="M524" s="248"/>
      <c r="N524" s="248"/>
      <c r="O524" s="248"/>
      <c r="P524" s="248"/>
      <c r="Q524" s="248"/>
      <c r="R524" s="248"/>
      <c r="S524" s="248">
        <f>Table1[[#This Row],[Red target threshold]]-Table1[[#This Row],[Red target threshold]]*0.5</f>
        <v>0</v>
      </c>
      <c r="T524" s="248"/>
      <c r="U524" s="278"/>
    </row>
    <row r="525" spans="1:22" hidden="1" x14ac:dyDescent="0.25">
      <c r="A525" s="271"/>
      <c r="B525" s="173"/>
      <c r="C525" s="173"/>
      <c r="D525" s="173" t="s">
        <v>673</v>
      </c>
      <c r="E525" s="256">
        <v>7.2730927244842994E-2</v>
      </c>
      <c r="F525" s="257">
        <v>7.3333668190265697E-2</v>
      </c>
      <c r="G525" s="258">
        <v>7.3936409135688497E-2</v>
      </c>
      <c r="H525" s="305">
        <v>2016</v>
      </c>
      <c r="I525" s="248">
        <v>7.3936409135688497E-2</v>
      </c>
      <c r="J525" s="248"/>
      <c r="K525" s="248"/>
      <c r="L525" s="248">
        <f>Table1[[#This Row],[Green target threshold]]+Table1[[#This Row],[Green target threshold]]*0.5</f>
        <v>0</v>
      </c>
      <c r="M525" s="248"/>
      <c r="N525" s="248"/>
      <c r="O525" s="248"/>
      <c r="P525" s="248"/>
      <c r="Q525" s="248"/>
      <c r="R525" s="248"/>
      <c r="S525" s="248">
        <f>Table1[[#This Row],[Red target threshold]]-Table1[[#This Row],[Red target threshold]]*0.5</f>
        <v>0</v>
      </c>
      <c r="T525" s="248"/>
      <c r="U525" s="278"/>
    </row>
    <row r="526" spans="1:22" hidden="1" x14ac:dyDescent="0.25">
      <c r="A526" s="271"/>
      <c r="B526" s="173"/>
      <c r="C526" s="173"/>
      <c r="D526" s="173" t="s">
        <v>674</v>
      </c>
      <c r="E526" s="256">
        <v>0.123327687918433</v>
      </c>
      <c r="F526" s="257">
        <v>0.123327687918433</v>
      </c>
      <c r="G526" s="258">
        <v>0.123327687918433</v>
      </c>
      <c r="H526" s="305">
        <v>2016</v>
      </c>
      <c r="I526" s="248">
        <v>0.123327687918433</v>
      </c>
      <c r="J526" s="248"/>
      <c r="K526" s="248"/>
      <c r="L526" s="248">
        <f>Table1[[#This Row],[Green target threshold]]+Table1[[#This Row],[Green target threshold]]*0.5</f>
        <v>0</v>
      </c>
      <c r="M526" s="248"/>
      <c r="N526" s="248"/>
      <c r="O526" s="248"/>
      <c r="P526" s="248"/>
      <c r="Q526" s="248"/>
      <c r="R526" s="248"/>
      <c r="S526" s="248">
        <f>Table1[[#This Row],[Red target threshold]]-Table1[[#This Row],[Red target threshold]]*0.5</f>
        <v>0</v>
      </c>
      <c r="T526" s="248"/>
      <c r="U526" s="278"/>
    </row>
    <row r="527" spans="1:22" hidden="1" x14ac:dyDescent="0.25">
      <c r="A527" s="271"/>
      <c r="B527" s="173"/>
      <c r="C527" s="173"/>
      <c r="D527" s="173" t="s">
        <v>675</v>
      </c>
      <c r="E527" s="256">
        <v>0.81805739686702195</v>
      </c>
      <c r="F527" s="257">
        <v>0.82124833105208805</v>
      </c>
      <c r="G527" s="258">
        <v>0.82443926523715405</v>
      </c>
      <c r="H527" s="305">
        <v>2016</v>
      </c>
      <c r="I527" s="248">
        <v>0.82443926523715405</v>
      </c>
      <c r="J527" s="248"/>
      <c r="K527" s="248"/>
      <c r="L527" s="248">
        <f>Table1[[#This Row],[Green target threshold]]+Table1[[#This Row],[Green target threshold]]*0.5</f>
        <v>0</v>
      </c>
      <c r="M527" s="248"/>
      <c r="N527" s="248"/>
      <c r="O527" s="248"/>
      <c r="P527" s="248"/>
      <c r="Q527" s="248"/>
      <c r="R527" s="248"/>
      <c r="S527" s="248">
        <f>Table1[[#This Row],[Red target threshold]]-Table1[[#This Row],[Red target threshold]]*0.5</f>
        <v>0</v>
      </c>
      <c r="T527" s="248"/>
      <c r="U527" s="278"/>
    </row>
    <row r="528" spans="1:22" hidden="1" x14ac:dyDescent="0.25">
      <c r="A528" s="271"/>
      <c r="B528" s="173"/>
      <c r="C528" s="173"/>
      <c r="D528" s="173" t="s">
        <v>676</v>
      </c>
      <c r="E528" s="256">
        <v>0.91134445757800597</v>
      </c>
      <c r="F528" s="257">
        <v>0.90155522223099405</v>
      </c>
      <c r="G528" s="258">
        <v>0.89176598688398201</v>
      </c>
      <c r="H528" s="305">
        <v>2016</v>
      </c>
      <c r="I528" s="248">
        <v>0.89176598688398201</v>
      </c>
      <c r="J528" s="248"/>
      <c r="K528" s="248"/>
      <c r="L528" s="248">
        <f>Table1[[#This Row],[Green target threshold]]+Table1[[#This Row],[Green target threshold]]*0.5</f>
        <v>0</v>
      </c>
      <c r="M528" s="248"/>
      <c r="N528" s="248"/>
      <c r="O528" s="248"/>
      <c r="P528" s="248"/>
      <c r="Q528" s="248"/>
      <c r="R528" s="248"/>
      <c r="S528" s="248">
        <f>Table1[[#This Row],[Red target threshold]]-Table1[[#This Row],[Red target threshold]]*0.5</f>
        <v>0</v>
      </c>
      <c r="T528" s="248"/>
      <c r="U528" s="278"/>
    </row>
    <row r="529" spans="1:21" hidden="1" x14ac:dyDescent="0.25">
      <c r="A529" s="271"/>
      <c r="B529" s="173"/>
      <c r="C529" s="173"/>
      <c r="D529" s="173" t="s">
        <v>677</v>
      </c>
      <c r="E529" s="256">
        <v>1.22569174352706</v>
      </c>
      <c r="F529" s="257">
        <v>1.22569174352706</v>
      </c>
      <c r="G529" s="258">
        <v>1.22569174352706</v>
      </c>
      <c r="H529" s="305">
        <v>2016</v>
      </c>
      <c r="I529" s="248">
        <v>1.22569174352706</v>
      </c>
      <c r="J529" s="248"/>
      <c r="K529" s="248"/>
      <c r="L529" s="248">
        <f>Table1[[#This Row],[Green target threshold]]+Table1[[#This Row],[Green target threshold]]*0.5</f>
        <v>0</v>
      </c>
      <c r="M529" s="248"/>
      <c r="N529" s="248"/>
      <c r="O529" s="248"/>
      <c r="P529" s="248"/>
      <c r="Q529" s="248"/>
      <c r="R529" s="248"/>
      <c r="S529" s="248">
        <f>Table1[[#This Row],[Red target threshold]]-Table1[[#This Row],[Red target threshold]]*0.5</f>
        <v>0</v>
      </c>
      <c r="T529" s="248"/>
      <c r="U529" s="278"/>
    </row>
    <row r="530" spans="1:21" s="268" customFormat="1" hidden="1" x14ac:dyDescent="0.25">
      <c r="A530" s="294"/>
      <c r="B530" s="299"/>
      <c r="C530" s="299"/>
      <c r="D530" s="299"/>
      <c r="E530" s="301">
        <v>2005</v>
      </c>
      <c r="F530" s="301">
        <v>2010</v>
      </c>
      <c r="G530" s="301">
        <v>2020</v>
      </c>
      <c r="H530" s="301"/>
      <c r="I530" s="301"/>
      <c r="J530" s="301"/>
      <c r="K530" s="301"/>
      <c r="L530" s="301">
        <f>Table1[[#This Row],[Green target threshold]]+Table1[[#This Row],[Green target threshold]]*0.5</f>
        <v>0</v>
      </c>
      <c r="M530" s="301"/>
      <c r="N530" s="301"/>
      <c r="O530" s="301"/>
      <c r="P530" s="301"/>
      <c r="Q530" s="301"/>
      <c r="R530" s="301"/>
      <c r="S530" s="301">
        <f>Table1[[#This Row],[Red target threshold]]-Table1[[#This Row],[Red target threshold]]*0.5</f>
        <v>0</v>
      </c>
      <c r="T530" s="301"/>
      <c r="U530" s="296"/>
    </row>
    <row r="531" spans="1:21" s="33" customFormat="1" x14ac:dyDescent="0.25">
      <c r="A531" s="302" t="s">
        <v>964</v>
      </c>
      <c r="B531" s="336" t="s">
        <v>28</v>
      </c>
      <c r="C531" s="337" t="s">
        <v>965</v>
      </c>
      <c r="D531" s="336" t="s">
        <v>904</v>
      </c>
      <c r="E531" s="304">
        <v>3725.0472</v>
      </c>
      <c r="F531" s="304">
        <v>3708.1455999999998</v>
      </c>
      <c r="G531" s="304">
        <v>3697.7395999999999</v>
      </c>
      <c r="H531" s="305">
        <v>2020</v>
      </c>
      <c r="I531" s="305">
        <v>3697.7395999999999</v>
      </c>
      <c r="J531" s="305">
        <v>2015</v>
      </c>
      <c r="K531" s="295">
        <v>3876.04</v>
      </c>
      <c r="L531" s="295">
        <f>Table1[[#This Row],[Green target threshold]]+Table1[[#This Row],[Green target threshold]]*0.5</f>
        <v>7558.2780000000002</v>
      </c>
      <c r="M531" s="305">
        <f>Table1[[#This Row],[Model reference value]]+Table1[[#This Row],[Model reference value]]*Table1[[#This Row],[Improvement rate]]</f>
        <v>5038.8519999999999</v>
      </c>
      <c r="N531" s="305">
        <v>0.3</v>
      </c>
      <c r="O531" s="305" t="s">
        <v>1140</v>
      </c>
      <c r="P531" s="305">
        <f>(M531-K531)*0.5+K531</f>
        <v>4457.4459999999999</v>
      </c>
      <c r="Q531" s="305">
        <f>K531</f>
        <v>3876.04</v>
      </c>
      <c r="R531" s="305">
        <f>K531</f>
        <v>3876.04</v>
      </c>
      <c r="S531" s="305">
        <f>Table1[[#This Row],[Red target threshold]]-Table1[[#This Row],[Red target threshold]]*0.5</f>
        <v>1938.02</v>
      </c>
      <c r="T531" s="305" t="s">
        <v>1124</v>
      </c>
      <c r="U531" s="303" t="s">
        <v>979</v>
      </c>
    </row>
    <row r="532" spans="1:21" s="33" customFormat="1" ht="30" hidden="1" x14ac:dyDescent="0.25">
      <c r="A532" s="270"/>
      <c r="B532" s="197"/>
      <c r="C532" s="197"/>
      <c r="D532" s="197" t="s">
        <v>975</v>
      </c>
      <c r="E532" s="253">
        <v>1164.75264511718</v>
      </c>
      <c r="F532" s="254">
        <v>1163.8596947265601</v>
      </c>
      <c r="G532" s="255">
        <v>1169.8245865234301</v>
      </c>
      <c r="H532" s="305">
        <v>2020</v>
      </c>
      <c r="I532" s="248">
        <v>1169.8245865234301</v>
      </c>
      <c r="J532" s="248"/>
      <c r="K532" s="248"/>
      <c r="L532" s="248">
        <f>Table1[[#This Row],[Green target threshold]]+Table1[[#This Row],[Green target threshold]]*0.5</f>
        <v>0</v>
      </c>
      <c r="M532" s="248"/>
      <c r="N532" s="248"/>
      <c r="O532" s="248"/>
      <c r="P532" s="248"/>
      <c r="Q532" s="248"/>
      <c r="R532" s="248"/>
      <c r="S532" s="248">
        <f>Table1[[#This Row],[Red target threshold]]-Table1[[#This Row],[Red target threshold]]*0.5</f>
        <v>0</v>
      </c>
      <c r="T532" s="248"/>
      <c r="U532" s="281"/>
    </row>
    <row r="533" spans="1:21" s="33" customFormat="1" hidden="1" x14ac:dyDescent="0.25">
      <c r="A533" s="270"/>
      <c r="B533" s="197"/>
      <c r="C533" s="197"/>
      <c r="D533" s="197" t="s">
        <v>972</v>
      </c>
      <c r="E533" s="253">
        <v>1096.09805351562</v>
      </c>
      <c r="F533" s="254">
        <v>1103.73515585937</v>
      </c>
      <c r="G533" s="255">
        <v>1132.18370820312</v>
      </c>
      <c r="H533" s="305">
        <v>2020</v>
      </c>
      <c r="I533" s="248">
        <v>1132.18370820312</v>
      </c>
      <c r="J533" s="248"/>
      <c r="K533" s="248"/>
      <c r="L533" s="248">
        <f>Table1[[#This Row],[Green target threshold]]+Table1[[#This Row],[Green target threshold]]*0.5</f>
        <v>0</v>
      </c>
      <c r="M533" s="248"/>
      <c r="N533" s="248"/>
      <c r="O533" s="248"/>
      <c r="P533" s="248"/>
      <c r="Q533" s="248"/>
      <c r="R533" s="248"/>
      <c r="S533" s="248">
        <f>Table1[[#This Row],[Red target threshold]]-Table1[[#This Row],[Red target threshold]]*0.5</f>
        <v>0</v>
      </c>
      <c r="T533" s="248"/>
      <c r="U533" s="281"/>
    </row>
    <row r="534" spans="1:21" s="33" customFormat="1" hidden="1" x14ac:dyDescent="0.25">
      <c r="A534" s="270"/>
      <c r="B534" s="197"/>
      <c r="C534" s="197"/>
      <c r="D534" s="197" t="s">
        <v>977</v>
      </c>
      <c r="E534" s="253">
        <v>741.06497343750004</v>
      </c>
      <c r="F534" s="254">
        <v>728.92406093750003</v>
      </c>
      <c r="G534" s="255">
        <v>711.25087656250003</v>
      </c>
      <c r="H534" s="305">
        <v>2020</v>
      </c>
      <c r="I534" s="248">
        <v>711.25087656250003</v>
      </c>
      <c r="J534" s="248"/>
      <c r="K534" s="248"/>
      <c r="L534" s="248">
        <f>Table1[[#This Row],[Green target threshold]]+Table1[[#This Row],[Green target threshold]]*0.5</f>
        <v>0</v>
      </c>
      <c r="M534" s="248"/>
      <c r="N534" s="248"/>
      <c r="O534" s="248"/>
      <c r="P534" s="248"/>
      <c r="Q534" s="248"/>
      <c r="R534" s="248"/>
      <c r="S534" s="248">
        <f>Table1[[#This Row],[Red target threshold]]-Table1[[#This Row],[Red target threshold]]*0.5</f>
        <v>0</v>
      </c>
      <c r="T534" s="248"/>
      <c r="U534" s="281"/>
    </row>
    <row r="535" spans="1:21" s="33" customFormat="1" hidden="1" x14ac:dyDescent="0.25">
      <c r="A535" s="270"/>
      <c r="B535" s="197"/>
      <c r="C535" s="197"/>
      <c r="D535" s="197"/>
      <c r="E535" s="253"/>
      <c r="F535" s="254"/>
      <c r="G535" s="255"/>
      <c r="H535" s="305"/>
      <c r="I535" s="248"/>
      <c r="J535" s="248"/>
      <c r="K535" s="248"/>
      <c r="L535" s="329">
        <f>Table1[[#This Row],[Green target threshold]]+Table1[[#This Row],[Green target threshold]]*0.5</f>
        <v>0</v>
      </c>
      <c r="M535" s="248"/>
      <c r="N535" s="248"/>
      <c r="O535" s="248"/>
      <c r="P535" s="329"/>
      <c r="Q535" s="329"/>
      <c r="R535" s="329"/>
      <c r="S535" s="329">
        <f>Table1[[#This Row],[Red target threshold]]-Table1[[#This Row],[Red target threshold]]*0.5</f>
        <v>0</v>
      </c>
      <c r="T535" s="248"/>
      <c r="U535" s="281"/>
    </row>
    <row r="536" spans="1:21" s="33" customFormat="1" hidden="1" x14ac:dyDescent="0.25">
      <c r="A536" s="270"/>
      <c r="B536" s="197"/>
      <c r="C536" s="197"/>
      <c r="D536" s="197"/>
      <c r="E536" s="253"/>
      <c r="F536" s="254"/>
      <c r="G536" s="255"/>
      <c r="H536" s="305"/>
      <c r="I536" s="248"/>
      <c r="J536" s="248"/>
      <c r="K536" s="248"/>
      <c r="L536" s="329">
        <f>Table1[[#This Row],[Green target threshold]]+Table1[[#This Row],[Green target threshold]]*0.5</f>
        <v>0</v>
      </c>
      <c r="M536" s="248"/>
      <c r="N536" s="248"/>
      <c r="O536" s="248"/>
      <c r="P536" s="329"/>
      <c r="Q536" s="329"/>
      <c r="R536" s="329"/>
      <c r="S536" s="329">
        <f>Table1[[#This Row],[Red target threshold]]-Table1[[#This Row],[Red target threshold]]*0.5</f>
        <v>0</v>
      </c>
      <c r="T536" s="248"/>
      <c r="U536" s="281"/>
    </row>
    <row r="537" spans="1:21" s="33" customFormat="1" hidden="1" x14ac:dyDescent="0.25">
      <c r="A537" s="270"/>
      <c r="B537" s="197"/>
      <c r="C537" s="197"/>
      <c r="D537" s="197" t="s">
        <v>974</v>
      </c>
      <c r="E537" s="256">
        <v>434.45220859375002</v>
      </c>
      <c r="F537" s="257">
        <v>426.61628124999999</v>
      </c>
      <c r="G537" s="258">
        <v>415.74024140624999</v>
      </c>
      <c r="H537" s="305">
        <v>2020</v>
      </c>
      <c r="I537" s="248">
        <v>415.74024140624999</v>
      </c>
      <c r="J537" s="248"/>
      <c r="K537" s="248"/>
      <c r="L537" s="248">
        <f>Table1[[#This Row],[Green target threshold]]+Table1[[#This Row],[Green target threshold]]*0.5</f>
        <v>0</v>
      </c>
      <c r="M537" s="248"/>
      <c r="N537" s="248"/>
      <c r="O537" s="248"/>
      <c r="P537" s="248"/>
      <c r="Q537" s="248"/>
      <c r="R537" s="248"/>
      <c r="S537" s="248">
        <f>Table1[[#This Row],[Red target threshold]]-Table1[[#This Row],[Red target threshold]]*0.5</f>
        <v>0</v>
      </c>
      <c r="T537" s="248"/>
      <c r="U537" s="281"/>
    </row>
    <row r="538" spans="1:21" s="33" customFormat="1" hidden="1" x14ac:dyDescent="0.25">
      <c r="A538" s="270"/>
      <c r="B538" s="197"/>
      <c r="C538" s="197"/>
      <c r="D538" s="197" t="s">
        <v>976</v>
      </c>
      <c r="E538" s="256">
        <v>288.67952734375001</v>
      </c>
      <c r="F538" s="257">
        <v>285.01043046874997</v>
      </c>
      <c r="G538" s="258">
        <v>268.73964550781199</v>
      </c>
      <c r="H538" s="305">
        <v>2020</v>
      </c>
      <c r="I538" s="248">
        <v>268.73964550781199</v>
      </c>
      <c r="J538" s="248"/>
      <c r="K538" s="248"/>
      <c r="L538" s="248">
        <f>Table1[[#This Row],[Green target threshold]]+Table1[[#This Row],[Green target threshold]]*0.5</f>
        <v>0</v>
      </c>
      <c r="M538" s="248"/>
      <c r="N538" s="248"/>
      <c r="O538" s="248"/>
      <c r="P538" s="248"/>
      <c r="Q538" s="248"/>
      <c r="R538" s="248"/>
      <c r="S538" s="248">
        <f>Table1[[#This Row],[Red target threshold]]-Table1[[#This Row],[Red target threshold]]*0.5</f>
        <v>0</v>
      </c>
      <c r="T538" s="248"/>
      <c r="U538" s="281"/>
    </row>
    <row r="539" spans="1:21" s="33" customFormat="1" hidden="1" x14ac:dyDescent="0.25">
      <c r="A539" s="270"/>
      <c r="B539" s="197"/>
      <c r="C539" s="197"/>
      <c r="D539" s="197"/>
      <c r="E539" s="256"/>
      <c r="F539" s="257"/>
      <c r="G539" s="258"/>
      <c r="H539" s="305"/>
      <c r="I539" s="248"/>
      <c r="J539" s="248"/>
      <c r="K539" s="248"/>
      <c r="L539" s="329">
        <f>Table1[[#This Row],[Green target threshold]]+Table1[[#This Row],[Green target threshold]]*0.5</f>
        <v>0</v>
      </c>
      <c r="M539" s="248"/>
      <c r="N539" s="248"/>
      <c r="O539" s="248"/>
      <c r="P539" s="329"/>
      <c r="Q539" s="329"/>
      <c r="R539" s="329"/>
      <c r="S539" s="329">
        <f>Table1[[#This Row],[Red target threshold]]-Table1[[#This Row],[Red target threshold]]*0.5</f>
        <v>0</v>
      </c>
      <c r="T539" s="248"/>
      <c r="U539" s="281"/>
    </row>
    <row r="540" spans="1:21" s="33" customFormat="1" hidden="1" x14ac:dyDescent="0.25">
      <c r="A540" s="270"/>
      <c r="B540" s="197"/>
      <c r="C540" s="197"/>
      <c r="D540" s="197"/>
      <c r="E540" s="256"/>
      <c r="F540" s="257"/>
      <c r="G540" s="258"/>
      <c r="H540" s="305"/>
      <c r="I540" s="248"/>
      <c r="J540" s="248"/>
      <c r="K540" s="248"/>
      <c r="L540" s="329">
        <f>Table1[[#This Row],[Green target threshold]]+Table1[[#This Row],[Green target threshold]]*0.5</f>
        <v>0</v>
      </c>
      <c r="M540" s="248"/>
      <c r="N540" s="248"/>
      <c r="O540" s="248"/>
      <c r="P540" s="329"/>
      <c r="Q540" s="329"/>
      <c r="R540" s="329"/>
      <c r="S540" s="329">
        <f>Table1[[#This Row],[Red target threshold]]-Table1[[#This Row],[Red target threshold]]*0.5</f>
        <v>0</v>
      </c>
      <c r="T540" s="248"/>
      <c r="U540" s="281"/>
    </row>
    <row r="541" spans="1:21" s="33" customFormat="1" hidden="1" x14ac:dyDescent="0.25">
      <c r="A541" s="270"/>
      <c r="B541" s="197"/>
      <c r="C541" s="197"/>
      <c r="D541" s="197"/>
      <c r="E541" s="256"/>
      <c r="F541" s="257"/>
      <c r="G541" s="258"/>
      <c r="H541" s="305"/>
      <c r="I541" s="248"/>
      <c r="J541" s="248"/>
      <c r="K541" s="248"/>
      <c r="L541" s="329">
        <f>Table1[[#This Row],[Green target threshold]]+Table1[[#This Row],[Green target threshold]]*0.5</f>
        <v>0</v>
      </c>
      <c r="M541" s="248"/>
      <c r="N541" s="248"/>
      <c r="O541" s="248"/>
      <c r="P541" s="329"/>
      <c r="Q541" s="329"/>
      <c r="R541" s="329"/>
      <c r="S541" s="329">
        <f>Table1[[#This Row],[Red target threshold]]-Table1[[#This Row],[Red target threshold]]*0.5</f>
        <v>0</v>
      </c>
      <c r="T541" s="248"/>
      <c r="U541" s="281"/>
    </row>
    <row r="542" spans="1:21" s="262" customFormat="1" hidden="1" x14ac:dyDescent="0.25">
      <c r="A542" s="293"/>
      <c r="B542" s="290"/>
      <c r="C542" s="290"/>
      <c r="D542" s="290"/>
      <c r="E542" s="291"/>
      <c r="F542" s="291"/>
      <c r="G542" s="291">
        <v>2000</v>
      </c>
      <c r="H542" s="291"/>
      <c r="I542" s="291"/>
      <c r="J542" s="291"/>
      <c r="K542" s="291"/>
      <c r="L542" s="291">
        <f>Table1[[#This Row],[Green target threshold]]+Table1[[#This Row],[Green target threshold]]*0.5</f>
        <v>0</v>
      </c>
      <c r="M542" s="291"/>
      <c r="N542" s="291"/>
      <c r="O542" s="291"/>
      <c r="P542" s="291"/>
      <c r="Q542" s="291"/>
      <c r="R542" s="291"/>
      <c r="S542" s="291">
        <f>Table1[[#This Row],[Red target threshold]]-Table1[[#This Row],[Red target threshold]]*0.5</f>
        <v>0</v>
      </c>
      <c r="T542" s="291"/>
      <c r="U542" s="297"/>
    </row>
    <row r="543" spans="1:21" hidden="1" x14ac:dyDescent="0.25">
      <c r="A543" s="302" t="s">
        <v>883</v>
      </c>
      <c r="B543" s="337" t="s">
        <v>884</v>
      </c>
      <c r="C543" s="337" t="s">
        <v>473</v>
      </c>
      <c r="D543" s="336" t="s">
        <v>904</v>
      </c>
      <c r="E543" s="304"/>
      <c r="F543" s="304"/>
      <c r="G543" s="304">
        <v>70</v>
      </c>
      <c r="H543" s="305">
        <v>2000</v>
      </c>
      <c r="I543" s="305">
        <v>70</v>
      </c>
      <c r="J543" s="305">
        <v>2015</v>
      </c>
      <c r="K543" s="295">
        <v>42.328600000000002</v>
      </c>
      <c r="L543" s="295">
        <v>100</v>
      </c>
      <c r="M543" s="305">
        <v>100</v>
      </c>
      <c r="N543" s="305"/>
      <c r="O543" s="305" t="s">
        <v>982</v>
      </c>
      <c r="P543" s="305">
        <f>(M543-K543)*0.5+K543</f>
        <v>71.164299999999997</v>
      </c>
      <c r="Q543" s="305">
        <f>K543</f>
        <v>42.328600000000002</v>
      </c>
      <c r="R543" s="305">
        <f>K543</f>
        <v>42.328600000000002</v>
      </c>
      <c r="S543" s="305">
        <f>Table1[[#This Row],[Red target threshold]]-Table1[[#This Row],[Red target threshold]]*0.5</f>
        <v>21.164300000000001</v>
      </c>
      <c r="T543" s="305" t="s">
        <v>1037</v>
      </c>
      <c r="U543" s="303" t="s">
        <v>890</v>
      </c>
    </row>
    <row r="544" spans="1:21" hidden="1" x14ac:dyDescent="0.25">
      <c r="A544" s="271"/>
      <c r="B544" s="173"/>
      <c r="C544" s="173"/>
      <c r="D544" s="197" t="s">
        <v>893</v>
      </c>
      <c r="E544" s="253"/>
      <c r="F544" s="254"/>
      <c r="G544" s="255">
        <v>87</v>
      </c>
      <c r="H544" s="305">
        <v>2000</v>
      </c>
      <c r="I544" s="248">
        <v>87</v>
      </c>
      <c r="J544" s="248"/>
      <c r="K544" s="248"/>
      <c r="L544" s="248">
        <f>Table1[[#This Row],[Green target threshold]]+Table1[[#This Row],[Green target threshold]]*0.5</f>
        <v>0</v>
      </c>
      <c r="M544" s="248"/>
      <c r="N544" s="248"/>
      <c r="O544" s="248"/>
      <c r="P544" s="248"/>
      <c r="Q544" s="248"/>
      <c r="R544" s="248"/>
      <c r="S544" s="248">
        <f>Table1[[#This Row],[Red target threshold]]-Table1[[#This Row],[Red target threshold]]*0.5</f>
        <v>0</v>
      </c>
      <c r="T544" s="248"/>
      <c r="U544" s="278"/>
    </row>
    <row r="545" spans="1:23" hidden="1" x14ac:dyDescent="0.25">
      <c r="A545" s="271"/>
      <c r="B545" s="173"/>
      <c r="C545" s="173"/>
      <c r="D545" s="197" t="s">
        <v>894</v>
      </c>
      <c r="E545" s="253"/>
      <c r="F545" s="254"/>
      <c r="G545" s="255">
        <v>78</v>
      </c>
      <c r="H545" s="305">
        <v>2000</v>
      </c>
      <c r="I545" s="248">
        <v>78</v>
      </c>
      <c r="J545" s="248"/>
      <c r="K545" s="248"/>
      <c r="L545" s="248">
        <f>Table1[[#This Row],[Green target threshold]]+Table1[[#This Row],[Green target threshold]]*0.5</f>
        <v>0</v>
      </c>
      <c r="M545" s="248"/>
      <c r="N545" s="248"/>
      <c r="O545" s="248"/>
      <c r="P545" s="248"/>
      <c r="Q545" s="248"/>
      <c r="R545" s="248"/>
      <c r="S545" s="248">
        <f>Table1[[#This Row],[Red target threshold]]-Table1[[#This Row],[Red target threshold]]*0.5</f>
        <v>0</v>
      </c>
      <c r="T545" s="248"/>
      <c r="U545" s="278"/>
    </row>
    <row r="546" spans="1:23" hidden="1" x14ac:dyDescent="0.25">
      <c r="A546" s="271"/>
      <c r="B546" s="173"/>
      <c r="C546" s="173"/>
      <c r="D546" s="197" t="s">
        <v>897</v>
      </c>
      <c r="E546" s="253"/>
      <c r="F546" s="254"/>
      <c r="G546" s="255">
        <v>76</v>
      </c>
      <c r="H546" s="305">
        <v>2000</v>
      </c>
      <c r="I546" s="248">
        <v>76</v>
      </c>
      <c r="J546" s="248"/>
      <c r="K546" s="248"/>
      <c r="L546" s="248">
        <f>Table1[[#This Row],[Green target threshold]]+Table1[[#This Row],[Green target threshold]]*0.5</f>
        <v>0</v>
      </c>
      <c r="M546" s="248"/>
      <c r="N546" s="248"/>
      <c r="O546" s="248"/>
      <c r="P546" s="248"/>
      <c r="Q546" s="248"/>
      <c r="R546" s="248"/>
      <c r="S546" s="248">
        <f>Table1[[#This Row],[Red target threshold]]-Table1[[#This Row],[Red target threshold]]*0.5</f>
        <v>0</v>
      </c>
      <c r="T546" s="248"/>
      <c r="U546" s="283"/>
    </row>
    <row r="547" spans="1:23" hidden="1" x14ac:dyDescent="0.25">
      <c r="A547" s="271"/>
      <c r="B547" s="173"/>
      <c r="C547" s="173"/>
      <c r="D547" s="197" t="s">
        <v>898</v>
      </c>
      <c r="E547" s="253"/>
      <c r="F547" s="254"/>
      <c r="G547" s="255">
        <v>76</v>
      </c>
      <c r="H547" s="305">
        <v>2000</v>
      </c>
      <c r="I547" s="248">
        <v>76</v>
      </c>
      <c r="J547" s="248"/>
      <c r="K547" s="248"/>
      <c r="L547" s="248">
        <f>Table1[[#This Row],[Green target threshold]]+Table1[[#This Row],[Green target threshold]]*0.5</f>
        <v>0</v>
      </c>
      <c r="M547" s="248"/>
      <c r="N547" s="248"/>
      <c r="O547" s="248"/>
      <c r="P547" s="248"/>
      <c r="Q547" s="248"/>
      <c r="R547" s="248"/>
      <c r="S547" s="248">
        <f>Table1[[#This Row],[Red target threshold]]-Table1[[#This Row],[Red target threshold]]*0.5</f>
        <v>0</v>
      </c>
      <c r="T547" s="248"/>
      <c r="U547" s="280"/>
    </row>
    <row r="548" spans="1:23" hidden="1" x14ac:dyDescent="0.25">
      <c r="A548" s="271"/>
      <c r="B548" s="173"/>
      <c r="C548" s="173"/>
      <c r="D548" s="197" t="s">
        <v>895</v>
      </c>
      <c r="E548" s="256"/>
      <c r="F548" s="257"/>
      <c r="G548" s="258">
        <v>75</v>
      </c>
      <c r="H548" s="305">
        <v>2000</v>
      </c>
      <c r="I548" s="248">
        <v>75</v>
      </c>
      <c r="J548" s="248"/>
      <c r="K548" s="248"/>
      <c r="L548" s="248">
        <f>Table1[[#This Row],[Green target threshold]]+Table1[[#This Row],[Green target threshold]]*0.5</f>
        <v>0</v>
      </c>
      <c r="M548" s="248"/>
      <c r="N548" s="248"/>
      <c r="O548" s="248"/>
      <c r="P548" s="248"/>
      <c r="Q548" s="248"/>
      <c r="R548" s="248"/>
      <c r="S548" s="248">
        <f>Table1[[#This Row],[Red target threshold]]-Table1[[#This Row],[Red target threshold]]*0.5</f>
        <v>0</v>
      </c>
      <c r="T548" s="248"/>
      <c r="U548" s="278"/>
    </row>
    <row r="549" spans="1:23" hidden="1" x14ac:dyDescent="0.25">
      <c r="A549" s="271"/>
      <c r="B549" s="173"/>
      <c r="C549" s="173"/>
      <c r="D549" s="197" t="s">
        <v>896</v>
      </c>
      <c r="E549" s="256"/>
      <c r="F549" s="257"/>
      <c r="G549" s="258">
        <v>73</v>
      </c>
      <c r="H549" s="305">
        <v>2000</v>
      </c>
      <c r="I549" s="248">
        <v>73</v>
      </c>
      <c r="J549" s="248"/>
      <c r="K549" s="248"/>
      <c r="L549" s="248">
        <f>Table1[[#This Row],[Green target threshold]]+Table1[[#This Row],[Green target threshold]]*0.5</f>
        <v>0</v>
      </c>
      <c r="M549" s="248"/>
      <c r="N549" s="248"/>
      <c r="O549" s="248"/>
      <c r="P549" s="248"/>
      <c r="Q549" s="248"/>
      <c r="R549" s="248"/>
      <c r="S549" s="248">
        <f>Table1[[#This Row],[Red target threshold]]-Table1[[#This Row],[Red target threshold]]*0.5</f>
        <v>0</v>
      </c>
      <c r="T549" s="248"/>
      <c r="U549" s="278"/>
    </row>
    <row r="550" spans="1:23" hidden="1" x14ac:dyDescent="0.25">
      <c r="A550" s="271"/>
      <c r="B550" s="173"/>
      <c r="C550" s="173"/>
      <c r="D550" s="197" t="s">
        <v>899</v>
      </c>
      <c r="E550" s="256"/>
      <c r="F550" s="257"/>
      <c r="G550" s="258">
        <v>55</v>
      </c>
      <c r="H550" s="305">
        <v>2000</v>
      </c>
      <c r="I550" s="248">
        <v>55</v>
      </c>
      <c r="J550" s="248"/>
      <c r="K550" s="248"/>
      <c r="L550" s="248">
        <f>Table1[[#This Row],[Green target threshold]]+Table1[[#This Row],[Green target threshold]]*0.5</f>
        <v>0</v>
      </c>
      <c r="M550" s="248"/>
      <c r="N550" s="248"/>
      <c r="O550" s="248"/>
      <c r="P550" s="248"/>
      <c r="Q550" s="248"/>
      <c r="R550" s="248"/>
      <c r="S550" s="248">
        <f>Table1[[#This Row],[Red target threshold]]-Table1[[#This Row],[Red target threshold]]*0.5</f>
        <v>0</v>
      </c>
      <c r="T550" s="248"/>
      <c r="U550" s="278"/>
    </row>
    <row r="551" spans="1:23" hidden="1" x14ac:dyDescent="0.25">
      <c r="A551" s="284"/>
      <c r="B551" s="174"/>
      <c r="C551" s="174"/>
      <c r="D551" s="282" t="s">
        <v>900</v>
      </c>
      <c r="E551" s="279"/>
      <c r="F551" s="276"/>
      <c r="G551" s="274">
        <v>45</v>
      </c>
      <c r="H551" s="305">
        <v>2000</v>
      </c>
      <c r="I551" s="273">
        <v>45</v>
      </c>
      <c r="J551" s="273"/>
      <c r="K551" s="273"/>
      <c r="L551" s="273">
        <f>Table1[[#This Row],[Green target threshold]]+Table1[[#This Row],[Green target threshold]]*0.5</f>
        <v>0</v>
      </c>
      <c r="M551" s="273"/>
      <c r="N551" s="273"/>
      <c r="O551" s="273"/>
      <c r="P551" s="273"/>
      <c r="Q551" s="273"/>
      <c r="R551" s="273"/>
      <c r="S551" s="273">
        <f>Table1[[#This Row],[Red target threshold]]-Table1[[#This Row],[Red target threshold]]*0.5</f>
        <v>0</v>
      </c>
      <c r="T551" s="273"/>
      <c r="U551" s="287"/>
    </row>
    <row r="552" spans="1:23" x14ac:dyDescent="0.25">
      <c r="A552" s="249"/>
      <c r="B552" s="339"/>
      <c r="C552" s="339"/>
      <c r="D552" s="339"/>
      <c r="E552" s="249"/>
      <c r="F552" s="249"/>
      <c r="G552" s="249"/>
      <c r="U552" s="249"/>
      <c r="V552" s="249"/>
      <c r="W552" s="249"/>
    </row>
    <row r="553" spans="1:23" x14ac:dyDescent="0.25">
      <c r="A553" s="249"/>
      <c r="B553" s="339"/>
      <c r="C553" s="339"/>
      <c r="D553" s="339"/>
      <c r="E553" s="249"/>
      <c r="F553" s="249"/>
      <c r="G553" s="249"/>
      <c r="U553" s="249"/>
      <c r="V553" s="249"/>
      <c r="W553" s="249"/>
    </row>
    <row r="554" spans="1:23" x14ac:dyDescent="0.25">
      <c r="A554" s="249"/>
      <c r="B554" s="339"/>
      <c r="C554" s="339"/>
      <c r="D554" s="339"/>
      <c r="E554" s="249"/>
      <c r="F554" s="249"/>
      <c r="G554" s="249"/>
      <c r="U554" s="249"/>
      <c r="V554" s="249"/>
      <c r="W554" s="249"/>
    </row>
    <row r="555" spans="1:23" x14ac:dyDescent="0.25">
      <c r="A555" s="249"/>
      <c r="B555" s="339"/>
      <c r="C555" s="339"/>
      <c r="D555" s="339"/>
      <c r="E555" s="249"/>
      <c r="F555" s="249"/>
      <c r="G555" s="249"/>
      <c r="U555" s="249"/>
      <c r="V555" s="249"/>
      <c r="W555" s="249"/>
    </row>
    <row r="556" spans="1:23" x14ac:dyDescent="0.25">
      <c r="A556" s="249"/>
      <c r="B556" s="339"/>
      <c r="C556" s="339"/>
      <c r="D556" s="339"/>
      <c r="E556" s="249"/>
      <c r="F556" s="249"/>
      <c r="G556" s="249"/>
      <c r="U556" s="249"/>
      <c r="V556" s="249"/>
      <c r="W556" s="249"/>
    </row>
    <row r="557" spans="1:23" x14ac:dyDescent="0.25">
      <c r="A557" s="249"/>
      <c r="B557" s="339"/>
      <c r="C557" s="339"/>
      <c r="D557" s="339"/>
      <c r="E557" s="249"/>
      <c r="F557" s="249"/>
      <c r="G557" s="249"/>
      <c r="K557" s="289"/>
      <c r="L557" s="289"/>
      <c r="U557" s="249"/>
      <c r="V557" s="249"/>
      <c r="W557" s="249"/>
    </row>
    <row r="558" spans="1:23" x14ac:dyDescent="0.25">
      <c r="A558" s="249"/>
      <c r="B558" s="339"/>
      <c r="C558" s="339"/>
      <c r="D558" s="339"/>
      <c r="E558" s="249"/>
      <c r="F558" s="249"/>
      <c r="G558" s="249"/>
      <c r="U558" s="249"/>
      <c r="V558" s="249"/>
      <c r="W558" s="249"/>
    </row>
    <row r="559" spans="1:23" x14ac:dyDescent="0.25">
      <c r="A559" s="249"/>
      <c r="B559" s="339"/>
      <c r="C559" s="339"/>
      <c r="D559" s="339"/>
      <c r="E559" s="249"/>
      <c r="F559" s="249"/>
      <c r="G559" s="249"/>
      <c r="U559" s="249"/>
      <c r="V559" s="249"/>
      <c r="W559" s="249"/>
    </row>
    <row r="560" spans="1:23" x14ac:dyDescent="0.25">
      <c r="A560" s="249"/>
      <c r="B560" s="339"/>
      <c r="C560" s="339"/>
      <c r="D560" s="339"/>
      <c r="E560" s="249"/>
      <c r="F560" s="249"/>
      <c r="G560" s="249"/>
      <c r="U560" s="249"/>
      <c r="V560" s="249"/>
      <c r="W560" s="249"/>
    </row>
    <row r="561" spans="1:23" x14ac:dyDescent="0.25">
      <c r="A561" s="249"/>
      <c r="B561" s="339"/>
      <c r="C561" s="339"/>
      <c r="D561" s="339"/>
      <c r="E561" s="249"/>
      <c r="F561" s="249"/>
      <c r="G561" s="249"/>
      <c r="U561" s="249"/>
      <c r="V561" s="249"/>
      <c r="W561" s="249"/>
    </row>
    <row r="562" spans="1:23" x14ac:dyDescent="0.25">
      <c r="A562" s="249"/>
      <c r="B562" s="339"/>
      <c r="C562" s="339"/>
      <c r="D562" s="339"/>
      <c r="E562" s="249"/>
      <c r="F562" s="249"/>
      <c r="G562" s="249"/>
      <c r="U562" s="249"/>
      <c r="V562" s="249"/>
      <c r="W562" s="249"/>
    </row>
    <row r="563" spans="1:23" x14ac:dyDescent="0.25">
      <c r="A563" s="249"/>
      <c r="B563" s="339"/>
      <c r="C563" s="339"/>
      <c r="D563" s="339"/>
      <c r="E563" s="249"/>
      <c r="F563" s="249"/>
      <c r="G563" s="249"/>
      <c r="U563" s="249"/>
      <c r="V563" s="249"/>
      <c r="W563" s="249"/>
    </row>
    <row r="564" spans="1:23" x14ac:dyDescent="0.25">
      <c r="A564" s="249"/>
      <c r="B564" s="339"/>
      <c r="C564" s="339"/>
      <c r="D564" s="339"/>
      <c r="E564" s="249"/>
      <c r="F564" s="249"/>
      <c r="G564" s="249"/>
      <c r="U564" s="249"/>
      <c r="V564" s="249"/>
      <c r="W564" s="249"/>
    </row>
    <row r="565" spans="1:23" x14ac:dyDescent="0.25">
      <c r="A565" s="249"/>
      <c r="B565" s="339"/>
      <c r="C565" s="339"/>
      <c r="D565" s="339"/>
      <c r="E565" s="249"/>
      <c r="F565" s="249"/>
      <c r="G565" s="249"/>
      <c r="U565" s="249"/>
      <c r="V565" s="249"/>
      <c r="W565" s="249"/>
    </row>
    <row r="566" spans="1:23" x14ac:dyDescent="0.25">
      <c r="A566" s="249"/>
      <c r="B566" s="339"/>
      <c r="C566" s="339"/>
      <c r="D566" s="339"/>
      <c r="E566" s="249"/>
      <c r="F566" s="249"/>
      <c r="G566" s="249"/>
      <c r="U566" s="249"/>
      <c r="V566" s="249"/>
      <c r="W566" s="249"/>
    </row>
    <row r="567" spans="1:23" x14ac:dyDescent="0.25">
      <c r="A567" s="249"/>
      <c r="B567" s="339"/>
      <c r="C567" s="339"/>
      <c r="D567" s="339"/>
      <c r="E567" s="249"/>
      <c r="F567" s="249"/>
      <c r="G567" s="249"/>
      <c r="U567" s="249"/>
      <c r="V567" s="249"/>
      <c r="W567" s="249"/>
    </row>
    <row r="568" spans="1:23" x14ac:dyDescent="0.25">
      <c r="A568" s="249"/>
      <c r="B568" s="339"/>
      <c r="C568" s="339"/>
      <c r="D568" s="339"/>
      <c r="E568" s="249"/>
      <c r="F568" s="249"/>
      <c r="G568" s="249"/>
      <c r="U568" s="249"/>
      <c r="V568" s="249"/>
      <c r="W568" s="249"/>
    </row>
    <row r="569" spans="1:23" x14ac:dyDescent="0.25">
      <c r="A569" s="249"/>
      <c r="B569" s="339"/>
      <c r="C569" s="339"/>
      <c r="D569" s="339"/>
      <c r="E569" s="249"/>
      <c r="F569" s="249"/>
      <c r="G569" s="249"/>
      <c r="U569" s="249"/>
      <c r="V569" s="249"/>
      <c r="W569" s="249"/>
    </row>
    <row r="570" spans="1:23" x14ac:dyDescent="0.25">
      <c r="A570" s="249"/>
      <c r="B570" s="339"/>
      <c r="C570" s="339"/>
      <c r="D570" s="339"/>
      <c r="E570" s="249"/>
      <c r="F570" s="249"/>
      <c r="G570" s="249"/>
      <c r="U570" s="249"/>
      <c r="V570" s="249"/>
      <c r="W570" s="249"/>
    </row>
    <row r="571" spans="1:23" x14ac:dyDescent="0.25">
      <c r="A571" s="249"/>
      <c r="B571" s="339"/>
      <c r="C571" s="339"/>
      <c r="D571" s="339"/>
      <c r="E571" s="249"/>
      <c r="F571" s="249"/>
      <c r="G571" s="249"/>
      <c r="U571" s="249"/>
      <c r="V571" s="249"/>
      <c r="W571" s="249"/>
    </row>
    <row r="572" spans="1:23" x14ac:dyDescent="0.25">
      <c r="A572" s="249"/>
      <c r="B572" s="339"/>
      <c r="C572" s="339"/>
      <c r="D572" s="339"/>
      <c r="E572" s="249"/>
      <c r="F572" s="249"/>
      <c r="G572" s="249"/>
      <c r="U572" s="249"/>
      <c r="V572" s="249"/>
      <c r="W572" s="249"/>
    </row>
    <row r="573" spans="1:23" x14ac:dyDescent="0.25">
      <c r="A573" s="249"/>
      <c r="B573" s="339"/>
      <c r="C573" s="339"/>
      <c r="D573" s="339"/>
      <c r="E573" s="249"/>
      <c r="F573" s="249"/>
      <c r="G573" s="249"/>
      <c r="U573" s="249"/>
      <c r="V573" s="249"/>
      <c r="W573" s="249"/>
    </row>
    <row r="574" spans="1:23" x14ac:dyDescent="0.25">
      <c r="A574" s="249"/>
      <c r="B574" s="339"/>
      <c r="C574" s="339"/>
      <c r="D574" s="339"/>
      <c r="E574" s="249"/>
      <c r="F574" s="249"/>
      <c r="G574" s="249"/>
      <c r="U574" s="249"/>
      <c r="V574" s="249"/>
      <c r="W574" s="249"/>
    </row>
    <row r="575" spans="1:23" x14ac:dyDescent="0.25">
      <c r="A575" s="249"/>
      <c r="B575" s="339"/>
      <c r="C575" s="339"/>
      <c r="D575" s="339"/>
      <c r="E575" s="249"/>
      <c r="F575" s="249"/>
      <c r="G575" s="249"/>
      <c r="U575" s="249"/>
      <c r="V575" s="249"/>
      <c r="W575" s="249"/>
    </row>
    <row r="576" spans="1:23" x14ac:dyDescent="0.25">
      <c r="A576" s="249"/>
      <c r="B576" s="339"/>
      <c r="C576" s="339"/>
      <c r="D576" s="339"/>
      <c r="E576" s="249"/>
      <c r="F576" s="249"/>
      <c r="G576" s="249"/>
      <c r="U576" s="249"/>
      <c r="V576" s="249"/>
      <c r="W576" s="249"/>
    </row>
    <row r="577" spans="1:23" x14ac:dyDescent="0.25">
      <c r="A577" s="249"/>
      <c r="B577" s="339"/>
      <c r="C577" s="339"/>
      <c r="D577" s="339"/>
      <c r="E577" s="249"/>
      <c r="F577" s="249"/>
      <c r="G577" s="249"/>
      <c r="U577" s="249"/>
      <c r="V577" s="249"/>
      <c r="W577" s="249"/>
    </row>
    <row r="578" spans="1:23" x14ac:dyDescent="0.25">
      <c r="A578" s="249"/>
      <c r="B578" s="339"/>
      <c r="C578" s="339"/>
      <c r="D578" s="339"/>
      <c r="E578" s="249"/>
      <c r="F578" s="249"/>
      <c r="G578" s="249"/>
      <c r="U578" s="249"/>
      <c r="V578" s="249"/>
      <c r="W578" s="249"/>
    </row>
    <row r="579" spans="1:23" x14ac:dyDescent="0.25">
      <c r="A579" s="249"/>
      <c r="B579" s="339"/>
      <c r="C579" s="339"/>
      <c r="D579" s="339"/>
      <c r="E579" s="249"/>
      <c r="F579" s="249"/>
      <c r="G579" s="249"/>
      <c r="U579" s="249"/>
      <c r="V579" s="249"/>
      <c r="W579" s="249"/>
    </row>
    <row r="580" spans="1:23" x14ac:dyDescent="0.25">
      <c r="A580" s="249"/>
      <c r="B580" s="339"/>
      <c r="C580" s="339"/>
      <c r="D580" s="339"/>
      <c r="E580" s="249"/>
      <c r="F580" s="249"/>
      <c r="G580" s="249"/>
      <c r="U580" s="249"/>
      <c r="V580" s="249"/>
      <c r="W580" s="249"/>
    </row>
    <row r="581" spans="1:23" x14ac:dyDescent="0.25">
      <c r="A581" s="249"/>
      <c r="B581" s="339"/>
      <c r="C581" s="339"/>
      <c r="D581" s="339"/>
      <c r="E581" s="249"/>
      <c r="F581" s="249"/>
      <c r="G581" s="249"/>
      <c r="U581" s="249"/>
      <c r="V581" s="249"/>
      <c r="W581" s="249"/>
    </row>
    <row r="582" spans="1:23" x14ac:dyDescent="0.25">
      <c r="A582" s="249"/>
      <c r="B582" s="339"/>
      <c r="C582" s="339"/>
      <c r="D582" s="339"/>
      <c r="E582" s="249"/>
      <c r="F582" s="249"/>
      <c r="G582" s="249"/>
      <c r="U582" s="249"/>
      <c r="V582" s="249"/>
      <c r="W582" s="249"/>
    </row>
    <row r="583" spans="1:23" x14ac:dyDescent="0.25">
      <c r="A583" s="249"/>
      <c r="B583" s="339"/>
      <c r="C583" s="339"/>
      <c r="D583" s="339"/>
      <c r="E583" s="249"/>
      <c r="F583" s="249"/>
      <c r="G583" s="249"/>
      <c r="U583" s="249"/>
      <c r="V583" s="249"/>
      <c r="W583" s="249"/>
    </row>
    <row r="584" spans="1:23" x14ac:dyDescent="0.25">
      <c r="A584" s="249"/>
      <c r="B584" s="339"/>
      <c r="C584" s="339"/>
      <c r="D584" s="339"/>
      <c r="E584" s="249"/>
      <c r="F584" s="249"/>
      <c r="G584" s="249"/>
      <c r="U584" s="249"/>
      <c r="V584" s="249"/>
      <c r="W584" s="249"/>
    </row>
    <row r="585" spans="1:23" x14ac:dyDescent="0.25">
      <c r="A585" s="249"/>
      <c r="B585" s="339"/>
      <c r="C585" s="339"/>
      <c r="D585" s="339"/>
      <c r="E585" s="249"/>
      <c r="F585" s="249"/>
      <c r="G585" s="249"/>
      <c r="U585" s="249"/>
      <c r="V585" s="249"/>
      <c r="W585" s="249"/>
    </row>
    <row r="586" spans="1:23" x14ac:dyDescent="0.25">
      <c r="A586" s="249"/>
      <c r="B586" s="339"/>
      <c r="C586" s="339"/>
      <c r="D586" s="339"/>
      <c r="E586" s="249"/>
      <c r="F586" s="249"/>
      <c r="G586" s="249"/>
      <c r="U586" s="249"/>
      <c r="V586" s="249"/>
      <c r="W586" s="249"/>
    </row>
    <row r="587" spans="1:23" x14ac:dyDescent="0.25">
      <c r="A587" s="249"/>
      <c r="B587" s="339"/>
      <c r="C587" s="339"/>
      <c r="D587" s="339"/>
      <c r="E587" s="249"/>
      <c r="F587" s="249"/>
      <c r="G587" s="249"/>
      <c r="U587" s="249"/>
      <c r="V587" s="249"/>
      <c r="W587" s="249"/>
    </row>
    <row r="588" spans="1:23" x14ac:dyDescent="0.25">
      <c r="A588" s="249"/>
      <c r="B588" s="339"/>
      <c r="C588" s="339"/>
      <c r="D588" s="339"/>
      <c r="E588" s="249"/>
      <c r="F588" s="249"/>
      <c r="G588" s="249"/>
      <c r="U588" s="249"/>
      <c r="V588" s="249"/>
      <c r="W588" s="249"/>
    </row>
    <row r="589" spans="1:23" x14ac:dyDescent="0.25">
      <c r="A589" s="249"/>
      <c r="B589" s="339"/>
      <c r="C589" s="339"/>
      <c r="D589" s="339"/>
      <c r="E589" s="249"/>
      <c r="F589" s="249"/>
      <c r="G589" s="249"/>
      <c r="U589" s="249"/>
      <c r="V589" s="249"/>
      <c r="W589" s="249"/>
    </row>
    <row r="590" spans="1:23" x14ac:dyDescent="0.25">
      <c r="A590" s="249"/>
      <c r="B590" s="339"/>
      <c r="C590" s="339"/>
      <c r="D590" s="339"/>
      <c r="E590" s="249"/>
      <c r="F590" s="249"/>
      <c r="G590" s="249"/>
      <c r="U590" s="249"/>
      <c r="V590" s="249"/>
      <c r="W590" s="249"/>
    </row>
    <row r="591" spans="1:23" x14ac:dyDescent="0.25">
      <c r="A591" s="249"/>
      <c r="B591" s="339"/>
      <c r="C591" s="339"/>
      <c r="D591" s="339"/>
      <c r="E591" s="249"/>
      <c r="F591" s="249"/>
      <c r="G591" s="249"/>
      <c r="U591" s="249"/>
      <c r="V591" s="249"/>
      <c r="W591" s="249"/>
    </row>
    <row r="592" spans="1:23" x14ac:dyDescent="0.25">
      <c r="A592" s="249"/>
      <c r="B592" s="339"/>
      <c r="C592" s="339"/>
      <c r="D592" s="339"/>
      <c r="E592" s="249"/>
      <c r="F592" s="249"/>
      <c r="G592" s="249"/>
      <c r="U592" s="249"/>
      <c r="V592" s="249"/>
      <c r="W592" s="249"/>
    </row>
    <row r="593" spans="1:23" x14ac:dyDescent="0.25">
      <c r="A593" s="249"/>
      <c r="B593" s="339"/>
      <c r="C593" s="339"/>
      <c r="D593" s="339"/>
      <c r="E593" s="249"/>
      <c r="F593" s="249"/>
      <c r="G593" s="249"/>
      <c r="U593" s="249"/>
      <c r="V593" s="249"/>
      <c r="W593" s="249"/>
    </row>
    <row r="594" spans="1:23" x14ac:dyDescent="0.25">
      <c r="A594" s="249"/>
      <c r="B594" s="339"/>
      <c r="C594" s="339"/>
      <c r="D594" s="339"/>
      <c r="E594" s="249"/>
      <c r="F594" s="249"/>
      <c r="G594" s="249"/>
      <c r="U594" s="249"/>
      <c r="V594" s="249"/>
      <c r="W594" s="249"/>
    </row>
    <row r="595" spans="1:23" x14ac:dyDescent="0.25">
      <c r="A595" s="249"/>
      <c r="B595" s="339"/>
      <c r="C595" s="339"/>
      <c r="D595" s="339"/>
      <c r="E595" s="249"/>
      <c r="F595" s="249"/>
      <c r="G595" s="249"/>
      <c r="U595" s="249"/>
      <c r="V595" s="249"/>
      <c r="W595" s="249"/>
    </row>
    <row r="596" spans="1:23" x14ac:dyDescent="0.25">
      <c r="A596" s="249"/>
      <c r="B596" s="339"/>
      <c r="C596" s="339"/>
      <c r="D596" s="339"/>
      <c r="E596" s="249"/>
      <c r="F596" s="249"/>
      <c r="G596" s="249"/>
      <c r="U596" s="249"/>
      <c r="V596" s="249"/>
      <c r="W596" s="249"/>
    </row>
    <row r="597" spans="1:23" x14ac:dyDescent="0.25">
      <c r="A597" s="249"/>
      <c r="B597" s="339"/>
      <c r="C597" s="339"/>
      <c r="D597" s="339"/>
      <c r="E597" s="249"/>
      <c r="F597" s="249"/>
      <c r="G597" s="249"/>
      <c r="U597" s="249"/>
      <c r="V597" s="249"/>
      <c r="W597" s="249"/>
    </row>
    <row r="598" spans="1:23" x14ac:dyDescent="0.25">
      <c r="A598" s="249"/>
      <c r="B598" s="339"/>
      <c r="C598" s="339"/>
      <c r="D598" s="339"/>
      <c r="E598" s="249"/>
      <c r="F598" s="249"/>
      <c r="G598" s="249"/>
      <c r="U598" s="249"/>
      <c r="V598" s="249"/>
      <c r="W598" s="249"/>
    </row>
    <row r="599" spans="1:23" x14ac:dyDescent="0.25">
      <c r="A599" s="249"/>
      <c r="B599" s="339"/>
      <c r="C599" s="339"/>
      <c r="D599" s="339"/>
      <c r="E599" s="249"/>
      <c r="F599" s="249"/>
      <c r="G599" s="249"/>
      <c r="U599" s="249"/>
      <c r="V599" s="249"/>
      <c r="W599" s="249"/>
    </row>
    <row r="600" spans="1:23" x14ac:dyDescent="0.25">
      <c r="A600" s="249"/>
      <c r="B600" s="339"/>
      <c r="C600" s="339"/>
      <c r="D600" s="339"/>
      <c r="E600" s="249"/>
      <c r="F600" s="249"/>
      <c r="G600" s="249"/>
      <c r="U600" s="249"/>
      <c r="V600" s="249"/>
      <c r="W600" s="249"/>
    </row>
    <row r="601" spans="1:23" x14ac:dyDescent="0.25">
      <c r="A601" s="249"/>
      <c r="B601" s="339"/>
      <c r="C601" s="339"/>
      <c r="D601" s="339"/>
      <c r="E601" s="249"/>
      <c r="F601" s="249"/>
      <c r="G601" s="249"/>
      <c r="U601" s="249"/>
      <c r="V601" s="249"/>
      <c r="W601" s="249"/>
    </row>
    <row r="602" spans="1:23" x14ac:dyDescent="0.25">
      <c r="A602" s="249"/>
      <c r="B602" s="339"/>
      <c r="C602" s="339"/>
      <c r="D602" s="339"/>
      <c r="E602" s="249"/>
      <c r="F602" s="249"/>
      <c r="G602" s="249"/>
      <c r="U602" s="249"/>
      <c r="V602" s="249"/>
      <c r="W602" s="249"/>
    </row>
    <row r="603" spans="1:23" x14ac:dyDescent="0.25">
      <c r="A603" s="249"/>
      <c r="B603" s="339"/>
      <c r="C603" s="339"/>
      <c r="D603" s="339"/>
      <c r="E603" s="249"/>
      <c r="F603" s="249"/>
      <c r="G603" s="249"/>
      <c r="U603" s="249"/>
      <c r="V603" s="249"/>
      <c r="W603" s="249"/>
    </row>
    <row r="604" spans="1:23" x14ac:dyDescent="0.25">
      <c r="A604" s="249"/>
      <c r="B604" s="339"/>
      <c r="C604" s="339"/>
      <c r="D604" s="339"/>
      <c r="E604" s="249"/>
      <c r="F604" s="249"/>
      <c r="G604" s="249"/>
      <c r="U604" s="249"/>
      <c r="V604" s="249"/>
      <c r="W604" s="249"/>
    </row>
    <row r="605" spans="1:23" x14ac:dyDescent="0.25">
      <c r="A605" s="249"/>
      <c r="B605" s="339"/>
      <c r="C605" s="339"/>
      <c r="D605" s="339"/>
      <c r="E605" s="249"/>
      <c r="F605" s="249"/>
      <c r="G605" s="249"/>
      <c r="U605" s="249"/>
      <c r="V605" s="249"/>
      <c r="W605" s="249"/>
    </row>
    <row r="606" spans="1:23" x14ac:dyDescent="0.25">
      <c r="A606" s="249"/>
      <c r="B606" s="339"/>
      <c r="C606" s="339"/>
      <c r="D606" s="339"/>
      <c r="E606" s="249"/>
      <c r="F606" s="249"/>
      <c r="G606" s="249"/>
      <c r="U606" s="249"/>
      <c r="V606" s="249"/>
      <c r="W606" s="249"/>
    </row>
    <row r="607" spans="1:23" x14ac:dyDescent="0.25">
      <c r="A607" s="249"/>
      <c r="B607" s="339"/>
      <c r="C607" s="339"/>
      <c r="D607" s="339"/>
      <c r="E607" s="249"/>
      <c r="F607" s="249"/>
      <c r="G607" s="249"/>
      <c r="U607" s="249"/>
      <c r="V607" s="249"/>
      <c r="W607" s="249"/>
    </row>
    <row r="608" spans="1:23" x14ac:dyDescent="0.25">
      <c r="A608" s="249"/>
      <c r="B608" s="339"/>
      <c r="C608" s="339"/>
      <c r="D608" s="339"/>
      <c r="E608" s="249"/>
      <c r="F608" s="249"/>
      <c r="G608" s="249"/>
      <c r="U608" s="249"/>
      <c r="V608" s="249"/>
      <c r="W608" s="249"/>
    </row>
    <row r="609" spans="1:23" x14ac:dyDescent="0.25">
      <c r="A609" s="249"/>
      <c r="B609" s="339"/>
      <c r="C609" s="339"/>
      <c r="D609" s="339"/>
      <c r="E609" s="249"/>
      <c r="F609" s="249"/>
      <c r="G609" s="249"/>
      <c r="U609" s="249"/>
      <c r="V609" s="249"/>
      <c r="W609" s="249"/>
    </row>
    <row r="610" spans="1:23" x14ac:dyDescent="0.25">
      <c r="A610" s="249"/>
      <c r="B610" s="339"/>
      <c r="C610" s="339"/>
      <c r="D610" s="339"/>
      <c r="E610" s="249"/>
      <c r="F610" s="249"/>
      <c r="G610" s="249"/>
      <c r="U610" s="249"/>
      <c r="V610" s="249"/>
      <c r="W610" s="249"/>
    </row>
    <row r="611" spans="1:23" x14ac:dyDescent="0.25">
      <c r="A611" s="249"/>
      <c r="B611" s="339"/>
      <c r="C611" s="339"/>
      <c r="D611" s="339"/>
      <c r="E611" s="249"/>
      <c r="F611" s="249"/>
      <c r="G611" s="249"/>
      <c r="U611" s="249"/>
      <c r="V611" s="249"/>
      <c r="W611" s="249"/>
    </row>
    <row r="612" spans="1:23" x14ac:dyDescent="0.25">
      <c r="A612" s="249"/>
      <c r="B612" s="339"/>
      <c r="C612" s="339"/>
      <c r="D612" s="339"/>
      <c r="E612" s="249"/>
      <c r="F612" s="249"/>
      <c r="G612" s="249"/>
      <c r="U612" s="249"/>
      <c r="V612" s="249"/>
      <c r="W612" s="249"/>
    </row>
    <row r="613" spans="1:23" x14ac:dyDescent="0.25">
      <c r="A613" s="249"/>
      <c r="B613" s="339"/>
      <c r="C613" s="339"/>
      <c r="D613" s="339"/>
      <c r="E613" s="249"/>
      <c r="F613" s="249"/>
      <c r="G613" s="249"/>
      <c r="U613" s="249"/>
      <c r="V613" s="249"/>
      <c r="W613" s="249"/>
    </row>
    <row r="614" spans="1:23" x14ac:dyDescent="0.25">
      <c r="A614" s="249"/>
      <c r="B614" s="339"/>
      <c r="C614" s="339"/>
      <c r="D614" s="339"/>
      <c r="E614" s="249"/>
      <c r="F614" s="249"/>
      <c r="G614" s="249"/>
      <c r="U614" s="249"/>
      <c r="V614" s="249"/>
      <c r="W614" s="249"/>
    </row>
    <row r="615" spans="1:23" x14ac:dyDescent="0.25">
      <c r="A615" s="249"/>
      <c r="B615" s="339"/>
      <c r="C615" s="339"/>
      <c r="D615" s="339"/>
      <c r="E615" s="249"/>
      <c r="F615" s="249"/>
      <c r="G615" s="249"/>
      <c r="U615" s="249"/>
      <c r="V615" s="249"/>
      <c r="W615" s="249"/>
    </row>
    <row r="616" spans="1:23" x14ac:dyDescent="0.25">
      <c r="A616" s="249"/>
      <c r="B616" s="339"/>
      <c r="C616" s="339"/>
      <c r="D616" s="339"/>
      <c r="E616" s="249"/>
      <c r="F616" s="249"/>
      <c r="G616" s="249"/>
      <c r="U616" s="249"/>
      <c r="V616" s="249"/>
      <c r="W616" s="249"/>
    </row>
    <row r="617" spans="1:23" x14ac:dyDescent="0.25">
      <c r="A617" s="249"/>
      <c r="B617" s="339"/>
      <c r="C617" s="339"/>
      <c r="D617" s="339"/>
      <c r="E617" s="249"/>
      <c r="F617" s="249"/>
      <c r="G617" s="249"/>
      <c r="U617" s="249"/>
      <c r="V617" s="249"/>
      <c r="W617" s="249"/>
    </row>
    <row r="618" spans="1:23" x14ac:dyDescent="0.25">
      <c r="A618" s="249"/>
      <c r="B618" s="339"/>
      <c r="C618" s="339"/>
      <c r="D618" s="339"/>
      <c r="E618" s="249"/>
      <c r="F618" s="249"/>
      <c r="G618" s="249"/>
      <c r="U618" s="249"/>
      <c r="V618" s="249"/>
      <c r="W618" s="249"/>
    </row>
    <row r="619" spans="1:23" x14ac:dyDescent="0.25">
      <c r="A619" s="249"/>
      <c r="B619" s="339"/>
      <c r="C619" s="339"/>
      <c r="D619" s="339"/>
      <c r="E619" s="249"/>
      <c r="F619" s="249"/>
      <c r="G619" s="249"/>
      <c r="U619" s="249"/>
      <c r="V619" s="249"/>
      <c r="W619" s="249"/>
    </row>
    <row r="620" spans="1:23" x14ac:dyDescent="0.25">
      <c r="A620" s="249"/>
      <c r="B620" s="339"/>
      <c r="C620" s="339"/>
      <c r="D620" s="339"/>
      <c r="E620" s="249"/>
      <c r="F620" s="249"/>
      <c r="G620" s="249"/>
      <c r="U620" s="249"/>
      <c r="V620" s="249"/>
      <c r="W620" s="249"/>
    </row>
    <row r="621" spans="1:23" x14ac:dyDescent="0.25">
      <c r="A621" s="249"/>
      <c r="B621" s="339"/>
      <c r="C621" s="339"/>
      <c r="D621" s="339"/>
      <c r="E621" s="249"/>
      <c r="F621" s="249"/>
      <c r="G621" s="249"/>
      <c r="U621" s="249"/>
      <c r="V621" s="249"/>
      <c r="W621" s="249"/>
    </row>
    <row r="622" spans="1:23" x14ac:dyDescent="0.25">
      <c r="A622" s="249"/>
      <c r="B622" s="339"/>
      <c r="C622" s="339"/>
      <c r="D622" s="339"/>
      <c r="E622" s="249"/>
      <c r="F622" s="249"/>
      <c r="G622" s="249"/>
      <c r="U622" s="249"/>
      <c r="V622" s="249"/>
      <c r="W622" s="249"/>
    </row>
    <row r="623" spans="1:23" x14ac:dyDescent="0.25">
      <c r="A623" s="249"/>
      <c r="B623" s="339"/>
      <c r="C623" s="339"/>
      <c r="D623" s="339"/>
      <c r="E623" s="249"/>
      <c r="F623" s="249"/>
      <c r="G623" s="249"/>
      <c r="U623" s="249"/>
      <c r="V623" s="249"/>
      <c r="W623" s="249"/>
    </row>
    <row r="624" spans="1:23" x14ac:dyDescent="0.25">
      <c r="A624" s="249"/>
      <c r="B624" s="339"/>
      <c r="C624" s="339"/>
      <c r="D624" s="339"/>
      <c r="E624" s="249"/>
      <c r="F624" s="249"/>
      <c r="G624" s="249"/>
      <c r="U624" s="249"/>
      <c r="V624" s="249"/>
      <c r="W624" s="249"/>
    </row>
    <row r="625" spans="1:23" x14ac:dyDescent="0.25">
      <c r="A625" s="249"/>
      <c r="B625" s="339"/>
      <c r="C625" s="339"/>
      <c r="D625" s="339"/>
      <c r="E625" s="249"/>
      <c r="F625" s="249"/>
      <c r="G625" s="249"/>
      <c r="U625" s="249"/>
      <c r="V625" s="249"/>
      <c r="W625" s="249"/>
    </row>
    <row r="626" spans="1:23" x14ac:dyDescent="0.25">
      <c r="A626" s="249"/>
      <c r="B626" s="339"/>
      <c r="C626" s="339"/>
      <c r="D626" s="339"/>
      <c r="E626" s="249"/>
      <c r="F626" s="249"/>
      <c r="G626" s="249"/>
      <c r="U626" s="249"/>
      <c r="V626" s="249"/>
      <c r="W626" s="249"/>
    </row>
    <row r="627" spans="1:23" x14ac:dyDescent="0.25">
      <c r="A627" s="249"/>
      <c r="B627" s="339"/>
      <c r="C627" s="339"/>
      <c r="D627" s="339"/>
      <c r="E627" s="249"/>
      <c r="F627" s="249"/>
      <c r="G627" s="249"/>
      <c r="U627" s="249"/>
      <c r="V627" s="249"/>
      <c r="W627" s="249"/>
    </row>
    <row r="628" spans="1:23" x14ac:dyDescent="0.25">
      <c r="A628" s="249"/>
      <c r="B628" s="339"/>
      <c r="C628" s="339"/>
      <c r="D628" s="339"/>
      <c r="E628" s="249"/>
      <c r="F628" s="249"/>
      <c r="G628" s="249"/>
      <c r="U628" s="249"/>
      <c r="V628" s="249"/>
      <c r="W628" s="249"/>
    </row>
    <row r="629" spans="1:23" x14ac:dyDescent="0.25">
      <c r="A629" s="249"/>
      <c r="B629" s="339"/>
      <c r="C629" s="339"/>
      <c r="D629" s="339"/>
      <c r="E629" s="249"/>
      <c r="F629" s="249"/>
      <c r="G629" s="249"/>
      <c r="U629" s="249"/>
      <c r="V629" s="249"/>
      <c r="W629" s="249"/>
    </row>
    <row r="630" spans="1:23" x14ac:dyDescent="0.25">
      <c r="A630" s="249"/>
      <c r="B630" s="339"/>
      <c r="C630" s="339"/>
      <c r="D630" s="339"/>
      <c r="E630" s="249"/>
      <c r="F630" s="249"/>
      <c r="G630" s="249"/>
      <c r="U630" s="249"/>
      <c r="V630" s="249"/>
      <c r="W630" s="249"/>
    </row>
    <row r="631" spans="1:23" x14ac:dyDescent="0.25">
      <c r="A631" s="249"/>
      <c r="B631" s="339"/>
      <c r="C631" s="339"/>
      <c r="D631" s="339"/>
      <c r="E631" s="249"/>
      <c r="F631" s="249"/>
      <c r="G631" s="249"/>
      <c r="U631" s="249"/>
      <c r="V631" s="249"/>
      <c r="W631" s="249"/>
    </row>
    <row r="632" spans="1:23" x14ac:dyDescent="0.25">
      <c r="A632" s="249"/>
      <c r="B632" s="339"/>
      <c r="C632" s="339"/>
      <c r="D632" s="339"/>
      <c r="E632" s="249"/>
      <c r="F632" s="249"/>
      <c r="G632" s="249"/>
      <c r="U632" s="249"/>
      <c r="V632" s="249"/>
      <c r="W632" s="249"/>
    </row>
    <row r="633" spans="1:23" x14ac:dyDescent="0.25">
      <c r="A633" s="249"/>
      <c r="B633" s="339"/>
      <c r="C633" s="339"/>
      <c r="D633" s="339"/>
      <c r="E633" s="249"/>
      <c r="F633" s="249"/>
      <c r="G633" s="249"/>
      <c r="U633" s="249"/>
      <c r="V633" s="249"/>
      <c r="W633" s="249"/>
    </row>
    <row r="634" spans="1:23" x14ac:dyDescent="0.25">
      <c r="A634" s="249"/>
      <c r="B634" s="339"/>
      <c r="C634" s="339"/>
      <c r="D634" s="339"/>
      <c r="E634" s="249"/>
      <c r="F634" s="249"/>
      <c r="G634" s="249"/>
      <c r="U634" s="249"/>
      <c r="V634" s="249"/>
      <c r="W634" s="249"/>
    </row>
    <row r="635" spans="1:23" x14ac:dyDescent="0.25">
      <c r="A635" s="249"/>
      <c r="B635" s="339"/>
      <c r="C635" s="339"/>
      <c r="D635" s="339"/>
      <c r="E635" s="249"/>
      <c r="F635" s="249"/>
      <c r="G635" s="249"/>
      <c r="U635" s="249"/>
      <c r="V635" s="249"/>
      <c r="W635" s="249"/>
    </row>
    <row r="636" spans="1:23" x14ac:dyDescent="0.25">
      <c r="A636" s="249"/>
      <c r="B636" s="339"/>
      <c r="C636" s="339"/>
      <c r="D636" s="339"/>
      <c r="E636" s="249"/>
      <c r="F636" s="249"/>
      <c r="G636" s="249"/>
      <c r="U636" s="249"/>
      <c r="V636" s="249"/>
      <c r="W636" s="249"/>
    </row>
    <row r="637" spans="1:23" x14ac:dyDescent="0.25">
      <c r="A637" s="249"/>
      <c r="B637" s="339"/>
      <c r="C637" s="339"/>
      <c r="D637" s="339"/>
      <c r="E637" s="249"/>
      <c r="F637" s="249"/>
      <c r="G637" s="249"/>
      <c r="U637" s="249"/>
      <c r="V637" s="249"/>
      <c r="W637" s="249"/>
    </row>
    <row r="638" spans="1:23" x14ac:dyDescent="0.25">
      <c r="A638" s="249"/>
      <c r="B638" s="339"/>
      <c r="C638" s="339"/>
      <c r="D638" s="339"/>
      <c r="E638" s="249"/>
      <c r="F638" s="249"/>
      <c r="G638" s="249"/>
      <c r="U638" s="249"/>
      <c r="V638" s="249"/>
      <c r="W638" s="249"/>
    </row>
    <row r="639" spans="1:23" x14ac:dyDescent="0.25">
      <c r="A639" s="249"/>
      <c r="B639" s="339"/>
      <c r="C639" s="339"/>
      <c r="D639" s="339"/>
      <c r="E639" s="249"/>
      <c r="F639" s="249"/>
      <c r="G639" s="249"/>
      <c r="U639" s="249"/>
      <c r="V639" s="249"/>
      <c r="W639" s="249"/>
    </row>
    <row r="640" spans="1:23" x14ac:dyDescent="0.25">
      <c r="A640" s="249"/>
      <c r="B640" s="339"/>
      <c r="C640" s="339"/>
      <c r="D640" s="339"/>
      <c r="E640" s="249"/>
      <c r="F640" s="249"/>
      <c r="G640" s="249"/>
      <c r="U640" s="249"/>
      <c r="V640" s="249"/>
      <c r="W640" s="249"/>
    </row>
    <row r="641" spans="1:23" x14ac:dyDescent="0.25">
      <c r="A641" s="249"/>
      <c r="B641" s="339"/>
      <c r="C641" s="339"/>
      <c r="D641" s="339"/>
      <c r="E641" s="249"/>
      <c r="F641" s="249"/>
      <c r="G641" s="249"/>
      <c r="U641" s="249"/>
      <c r="V641" s="249"/>
      <c r="W641" s="249"/>
    </row>
    <row r="642" spans="1:23" x14ac:dyDescent="0.25">
      <c r="A642" s="249"/>
      <c r="B642" s="339"/>
      <c r="C642" s="339"/>
      <c r="D642" s="339"/>
      <c r="E642" s="249"/>
      <c r="F642" s="249"/>
      <c r="G642" s="249"/>
      <c r="U642" s="249"/>
      <c r="V642" s="249"/>
      <c r="W642" s="249"/>
    </row>
    <row r="643" spans="1:23" x14ac:dyDescent="0.25">
      <c r="A643" s="249"/>
      <c r="B643" s="339"/>
      <c r="C643" s="339"/>
      <c r="D643" s="339"/>
      <c r="E643" s="249"/>
      <c r="F643" s="249"/>
      <c r="G643" s="249"/>
      <c r="U643" s="249"/>
      <c r="V643" s="249"/>
      <c r="W643" s="249"/>
    </row>
    <row r="644" spans="1:23" x14ac:dyDescent="0.25">
      <c r="A644" s="249"/>
      <c r="B644" s="339"/>
      <c r="C644" s="339"/>
      <c r="D644" s="339"/>
      <c r="E644" s="249"/>
      <c r="F644" s="249"/>
      <c r="G644" s="249"/>
      <c r="U644" s="249"/>
      <c r="V644" s="249"/>
      <c r="W644" s="249"/>
    </row>
    <row r="645" spans="1:23" x14ac:dyDescent="0.25">
      <c r="A645" s="249"/>
      <c r="B645" s="339"/>
      <c r="C645" s="339"/>
      <c r="D645" s="339"/>
      <c r="E645" s="249"/>
      <c r="F645" s="249"/>
      <c r="G645" s="249"/>
      <c r="U645" s="249"/>
      <c r="V645" s="249"/>
      <c r="W645" s="249"/>
    </row>
    <row r="646" spans="1:23" x14ac:dyDescent="0.25">
      <c r="A646" s="249"/>
      <c r="B646" s="339"/>
      <c r="C646" s="339"/>
      <c r="D646" s="339"/>
      <c r="E646" s="249"/>
      <c r="F646" s="249"/>
      <c r="G646" s="249"/>
      <c r="U646" s="249"/>
      <c r="V646" s="249"/>
      <c r="W646" s="249"/>
    </row>
    <row r="647" spans="1:23" x14ac:dyDescent="0.25">
      <c r="A647" s="249"/>
      <c r="B647" s="339"/>
      <c r="C647" s="339"/>
      <c r="D647" s="339"/>
      <c r="E647" s="249"/>
      <c r="F647" s="249"/>
      <c r="G647" s="249"/>
      <c r="U647" s="249"/>
      <c r="V647" s="249"/>
      <c r="W647" s="249"/>
    </row>
    <row r="648" spans="1:23" x14ac:dyDescent="0.25">
      <c r="A648" s="249"/>
      <c r="B648" s="339"/>
      <c r="C648" s="339"/>
      <c r="D648" s="339"/>
      <c r="E648" s="249"/>
      <c r="F648" s="249"/>
      <c r="G648" s="249"/>
      <c r="U648" s="249"/>
      <c r="V648" s="249"/>
      <c r="W648" s="249"/>
    </row>
    <row r="649" spans="1:23" x14ac:dyDescent="0.25">
      <c r="A649" s="249"/>
      <c r="B649" s="339"/>
      <c r="C649" s="339"/>
      <c r="D649" s="339"/>
      <c r="E649" s="249"/>
      <c r="F649" s="249"/>
      <c r="G649" s="249"/>
      <c r="U649" s="249"/>
      <c r="V649" s="249"/>
      <c r="W649" s="249"/>
    </row>
    <row r="650" spans="1:23" x14ac:dyDescent="0.25">
      <c r="A650" s="249"/>
      <c r="B650" s="339"/>
      <c r="C650" s="339"/>
      <c r="D650" s="339"/>
      <c r="E650" s="249"/>
      <c r="F650" s="249"/>
      <c r="G650" s="249"/>
      <c r="U650" s="249"/>
      <c r="V650" s="249"/>
      <c r="W650" s="249"/>
    </row>
    <row r="651" spans="1:23" x14ac:dyDescent="0.25">
      <c r="A651" s="249"/>
      <c r="B651" s="339"/>
      <c r="C651" s="339"/>
      <c r="D651" s="339"/>
      <c r="E651" s="249"/>
      <c r="F651" s="249"/>
      <c r="G651" s="249"/>
      <c r="U651" s="249"/>
      <c r="V651" s="249"/>
      <c r="W651" s="249"/>
    </row>
    <row r="652" spans="1:23" x14ac:dyDescent="0.25">
      <c r="A652" s="249"/>
      <c r="B652" s="339"/>
      <c r="C652" s="339"/>
      <c r="D652" s="339"/>
      <c r="E652" s="249"/>
      <c r="F652" s="249"/>
      <c r="G652" s="249"/>
      <c r="U652" s="249"/>
      <c r="V652" s="249"/>
      <c r="W652" s="249"/>
    </row>
    <row r="653" spans="1:23" x14ac:dyDescent="0.25">
      <c r="A653" s="249"/>
      <c r="B653" s="339"/>
      <c r="C653" s="339"/>
      <c r="D653" s="339"/>
      <c r="E653" s="249"/>
      <c r="F653" s="249"/>
      <c r="G653" s="249"/>
      <c r="U653" s="249"/>
      <c r="V653" s="249"/>
      <c r="W653" s="249"/>
    </row>
    <row r="654" spans="1:23" x14ac:dyDescent="0.25">
      <c r="A654" s="249"/>
      <c r="B654" s="339"/>
      <c r="C654" s="339"/>
      <c r="D654" s="339"/>
      <c r="E654" s="249"/>
      <c r="F654" s="249"/>
      <c r="G654" s="249"/>
      <c r="U654" s="249"/>
      <c r="V654" s="249"/>
      <c r="W654" s="249"/>
    </row>
    <row r="655" spans="1:23" x14ac:dyDescent="0.25">
      <c r="A655" s="249"/>
      <c r="B655" s="339"/>
      <c r="C655" s="339"/>
      <c r="D655" s="339"/>
      <c r="E655" s="249"/>
      <c r="F655" s="249"/>
      <c r="G655" s="249"/>
      <c r="U655" s="249"/>
      <c r="V655" s="249"/>
      <c r="W655" s="249"/>
    </row>
    <row r="656" spans="1:23" x14ac:dyDescent="0.25">
      <c r="A656" s="249"/>
      <c r="B656" s="339"/>
      <c r="C656" s="339"/>
      <c r="D656" s="339"/>
      <c r="E656" s="249"/>
      <c r="F656" s="249"/>
      <c r="G656" s="249"/>
      <c r="U656" s="249"/>
      <c r="V656" s="249"/>
      <c r="W656" s="249"/>
    </row>
    <row r="657" spans="1:23" x14ac:dyDescent="0.25">
      <c r="A657" s="249"/>
      <c r="B657" s="339"/>
      <c r="C657" s="339"/>
      <c r="D657" s="339"/>
      <c r="E657" s="249"/>
      <c r="F657" s="249"/>
      <c r="G657" s="249"/>
      <c r="U657" s="249"/>
      <c r="V657" s="249"/>
      <c r="W657" s="249"/>
    </row>
    <row r="658" spans="1:23" x14ac:dyDescent="0.25">
      <c r="A658" s="249"/>
      <c r="B658" s="339"/>
      <c r="C658" s="339"/>
      <c r="D658" s="339"/>
      <c r="E658" s="249"/>
      <c r="F658" s="249"/>
      <c r="G658" s="249"/>
      <c r="U658" s="249"/>
      <c r="V658" s="249"/>
      <c r="W658" s="249"/>
    </row>
    <row r="659" spans="1:23" x14ac:dyDescent="0.25">
      <c r="A659" s="249"/>
      <c r="B659" s="339"/>
      <c r="C659" s="339"/>
      <c r="D659" s="339"/>
      <c r="E659" s="249"/>
      <c r="F659" s="249"/>
      <c r="G659" s="249"/>
      <c r="U659" s="249"/>
      <c r="V659" s="249"/>
      <c r="W659" s="249"/>
    </row>
    <row r="660" spans="1:23" x14ac:dyDescent="0.25">
      <c r="A660" s="249"/>
      <c r="B660" s="339"/>
      <c r="C660" s="339"/>
      <c r="D660" s="339"/>
      <c r="E660" s="249"/>
      <c r="F660" s="249"/>
      <c r="G660" s="249"/>
      <c r="U660" s="249"/>
      <c r="V660" s="249"/>
      <c r="W660" s="249"/>
    </row>
    <row r="661" spans="1:23" x14ac:dyDescent="0.25">
      <c r="A661" s="249"/>
      <c r="B661" s="339"/>
      <c r="C661" s="339"/>
      <c r="D661" s="339"/>
      <c r="E661" s="249"/>
      <c r="F661" s="249"/>
      <c r="G661" s="249"/>
      <c r="U661" s="249"/>
      <c r="V661" s="249"/>
      <c r="W661" s="249"/>
    </row>
    <row r="662" spans="1:23" x14ac:dyDescent="0.25">
      <c r="A662" s="249"/>
      <c r="B662" s="339"/>
      <c r="C662" s="339"/>
      <c r="D662" s="339"/>
      <c r="E662" s="249"/>
      <c r="F662" s="249"/>
      <c r="G662" s="249"/>
      <c r="U662" s="249"/>
      <c r="V662" s="249"/>
      <c r="W662" s="249"/>
    </row>
    <row r="663" spans="1:23" x14ac:dyDescent="0.25">
      <c r="A663" s="249"/>
      <c r="B663" s="339"/>
      <c r="C663" s="339"/>
      <c r="D663" s="339"/>
      <c r="E663" s="249"/>
      <c r="F663" s="249"/>
      <c r="G663" s="249"/>
      <c r="U663" s="249"/>
      <c r="V663" s="249"/>
      <c r="W663" s="249"/>
    </row>
    <row r="664" spans="1:23" x14ac:dyDescent="0.25">
      <c r="A664" s="249"/>
      <c r="B664" s="339"/>
      <c r="C664" s="339"/>
      <c r="D664" s="339"/>
      <c r="E664" s="249"/>
      <c r="F664" s="249"/>
      <c r="G664" s="249"/>
      <c r="U664" s="249"/>
      <c r="V664" s="249"/>
      <c r="W664" s="249"/>
    </row>
    <row r="665" spans="1:23" x14ac:dyDescent="0.25">
      <c r="A665" s="249"/>
      <c r="B665" s="339"/>
      <c r="C665" s="339"/>
      <c r="D665" s="339"/>
      <c r="E665" s="249"/>
      <c r="F665" s="249"/>
      <c r="G665" s="249"/>
      <c r="U665" s="249"/>
      <c r="V665" s="249"/>
      <c r="W665" s="249"/>
    </row>
    <row r="666" spans="1:23" x14ac:dyDescent="0.25">
      <c r="A666" s="249"/>
      <c r="B666" s="339"/>
      <c r="C666" s="339"/>
      <c r="D666" s="339"/>
      <c r="E666" s="249"/>
      <c r="F666" s="249"/>
      <c r="G666" s="249"/>
      <c r="U666" s="249"/>
      <c r="V666" s="249"/>
      <c r="W666" s="249"/>
    </row>
    <row r="667" spans="1:23" x14ac:dyDescent="0.25">
      <c r="A667" s="249"/>
      <c r="B667" s="339"/>
      <c r="C667" s="339"/>
      <c r="D667" s="339"/>
      <c r="E667" s="249"/>
      <c r="F667" s="249"/>
      <c r="G667" s="249"/>
      <c r="U667" s="249"/>
      <c r="V667" s="249"/>
      <c r="W667" s="249"/>
    </row>
    <row r="668" spans="1:23" x14ac:dyDescent="0.25">
      <c r="A668" s="249"/>
      <c r="B668" s="339"/>
      <c r="C668" s="339"/>
      <c r="D668" s="339"/>
      <c r="E668" s="249"/>
      <c r="F668" s="249"/>
      <c r="G668" s="249"/>
      <c r="U668" s="249"/>
      <c r="V668" s="249"/>
      <c r="W668" s="249"/>
    </row>
    <row r="669" spans="1:23" x14ac:dyDescent="0.25">
      <c r="A669" s="249"/>
      <c r="B669" s="339"/>
      <c r="C669" s="339"/>
      <c r="D669" s="339"/>
      <c r="E669" s="249"/>
      <c r="F669" s="249"/>
      <c r="G669" s="249"/>
      <c r="U669" s="249"/>
      <c r="V669" s="249"/>
      <c r="W669" s="249"/>
    </row>
    <row r="670" spans="1:23" x14ac:dyDescent="0.25">
      <c r="A670" s="249"/>
      <c r="B670" s="339"/>
      <c r="C670" s="339"/>
      <c r="D670" s="339"/>
      <c r="E670" s="249"/>
      <c r="F670" s="249"/>
      <c r="G670" s="249"/>
      <c r="U670" s="249"/>
      <c r="V670" s="249"/>
      <c r="W670" s="249"/>
    </row>
    <row r="671" spans="1:23" x14ac:dyDescent="0.25">
      <c r="A671" s="249"/>
      <c r="B671" s="339"/>
      <c r="C671" s="339"/>
      <c r="D671" s="339"/>
      <c r="E671" s="249"/>
      <c r="F671" s="249"/>
      <c r="G671" s="249"/>
      <c r="U671" s="249"/>
      <c r="V671" s="249"/>
      <c r="W671" s="249"/>
    </row>
    <row r="672" spans="1:23" x14ac:dyDescent="0.25">
      <c r="A672" s="249"/>
      <c r="B672" s="339"/>
      <c r="C672" s="339"/>
      <c r="D672" s="339"/>
      <c r="E672" s="249"/>
      <c r="F672" s="249"/>
      <c r="G672" s="249"/>
      <c r="U672" s="249"/>
      <c r="V672" s="249"/>
      <c r="W672" s="249"/>
    </row>
    <row r="673" spans="1:23" x14ac:dyDescent="0.25">
      <c r="A673" s="249"/>
      <c r="B673" s="339"/>
      <c r="C673" s="339"/>
      <c r="D673" s="339"/>
      <c r="E673" s="249"/>
      <c r="F673" s="249"/>
      <c r="G673" s="249"/>
      <c r="U673" s="249"/>
      <c r="V673" s="249"/>
      <c r="W673" s="249"/>
    </row>
    <row r="674" spans="1:23" x14ac:dyDescent="0.25">
      <c r="A674" s="249"/>
      <c r="B674" s="339"/>
      <c r="C674" s="339"/>
      <c r="D674" s="339"/>
      <c r="E674" s="249"/>
      <c r="F674" s="249"/>
      <c r="G674" s="249"/>
      <c r="U674" s="249"/>
      <c r="V674" s="249"/>
      <c r="W674" s="249"/>
    </row>
    <row r="675" spans="1:23" x14ac:dyDescent="0.25">
      <c r="A675" s="249"/>
      <c r="B675" s="339"/>
      <c r="C675" s="339"/>
      <c r="D675" s="339"/>
      <c r="E675" s="249"/>
      <c r="F675" s="249"/>
      <c r="G675" s="249"/>
      <c r="U675" s="249"/>
      <c r="V675" s="249"/>
      <c r="W675" s="249"/>
    </row>
    <row r="676" spans="1:23" x14ac:dyDescent="0.25">
      <c r="A676" s="249"/>
      <c r="B676" s="339"/>
      <c r="C676" s="339"/>
      <c r="D676" s="339"/>
      <c r="E676" s="249"/>
      <c r="F676" s="249"/>
      <c r="G676" s="249"/>
      <c r="U676" s="249"/>
      <c r="V676" s="249"/>
      <c r="W676" s="249"/>
    </row>
    <row r="677" spans="1:23" x14ac:dyDescent="0.25">
      <c r="A677" s="249"/>
      <c r="B677" s="339"/>
      <c r="C677" s="339"/>
      <c r="D677" s="339"/>
      <c r="E677" s="249"/>
      <c r="F677" s="249"/>
      <c r="G677" s="249"/>
      <c r="U677" s="249"/>
      <c r="V677" s="249"/>
      <c r="W677" s="249"/>
    </row>
    <row r="678" spans="1:23" x14ac:dyDescent="0.25">
      <c r="A678" s="249"/>
      <c r="B678" s="339"/>
      <c r="C678" s="339"/>
      <c r="D678" s="339"/>
      <c r="E678" s="249"/>
      <c r="F678" s="249"/>
      <c r="G678" s="249"/>
      <c r="U678" s="249"/>
      <c r="V678" s="249"/>
      <c r="W678" s="249"/>
    </row>
    <row r="679" spans="1:23" x14ac:dyDescent="0.25">
      <c r="A679" s="249"/>
      <c r="B679" s="339"/>
      <c r="C679" s="339"/>
      <c r="D679" s="339"/>
      <c r="E679" s="249"/>
      <c r="F679" s="249"/>
      <c r="G679" s="249"/>
      <c r="U679" s="249"/>
      <c r="V679" s="249"/>
      <c r="W679" s="249"/>
    </row>
    <row r="680" spans="1:23" x14ac:dyDescent="0.25">
      <c r="A680" s="249"/>
      <c r="B680" s="339"/>
      <c r="C680" s="339"/>
      <c r="D680" s="339"/>
      <c r="E680" s="249"/>
      <c r="F680" s="249"/>
      <c r="G680" s="249"/>
      <c r="U680" s="249"/>
      <c r="V680" s="249"/>
      <c r="W680" s="249"/>
    </row>
    <row r="681" spans="1:23" x14ac:dyDescent="0.25">
      <c r="A681" s="249"/>
      <c r="B681" s="339"/>
      <c r="C681" s="339"/>
      <c r="D681" s="339"/>
      <c r="E681" s="249"/>
      <c r="F681" s="249"/>
      <c r="G681" s="249"/>
      <c r="U681" s="249"/>
      <c r="V681" s="249"/>
      <c r="W681" s="249"/>
    </row>
    <row r="682" spans="1:23" x14ac:dyDescent="0.25">
      <c r="A682" s="249"/>
      <c r="B682" s="339"/>
      <c r="C682" s="339"/>
      <c r="D682" s="339"/>
      <c r="E682" s="249"/>
      <c r="F682" s="249"/>
      <c r="G682" s="249"/>
      <c r="U682" s="249"/>
      <c r="V682" s="249"/>
      <c r="W682" s="249"/>
    </row>
    <row r="683" spans="1:23" x14ac:dyDescent="0.25">
      <c r="A683" s="249"/>
      <c r="B683" s="339"/>
      <c r="C683" s="339"/>
      <c r="D683" s="339"/>
      <c r="E683" s="249"/>
      <c r="F683" s="249"/>
      <c r="G683" s="249"/>
      <c r="U683" s="249"/>
      <c r="V683" s="249"/>
      <c r="W683" s="249"/>
    </row>
    <row r="684" spans="1:23" x14ac:dyDescent="0.25">
      <c r="A684" s="249"/>
      <c r="B684" s="339"/>
      <c r="C684" s="339"/>
      <c r="D684" s="339"/>
      <c r="E684" s="249"/>
      <c r="F684" s="249"/>
      <c r="G684" s="249"/>
      <c r="U684" s="249"/>
      <c r="V684" s="249"/>
      <c r="W684" s="249"/>
    </row>
    <row r="685" spans="1:23" x14ac:dyDescent="0.25">
      <c r="A685" s="249"/>
      <c r="B685" s="339"/>
      <c r="C685" s="339"/>
      <c r="D685" s="339"/>
      <c r="E685" s="249"/>
      <c r="F685" s="249"/>
      <c r="G685" s="249"/>
      <c r="U685" s="249"/>
      <c r="V685" s="249"/>
      <c r="W685" s="249"/>
    </row>
    <row r="686" spans="1:23" x14ac:dyDescent="0.25">
      <c r="A686" s="249"/>
      <c r="B686" s="339"/>
      <c r="C686" s="339"/>
      <c r="D686" s="339"/>
      <c r="E686" s="249"/>
      <c r="F686" s="249"/>
      <c r="G686" s="249"/>
      <c r="U686" s="249"/>
      <c r="V686" s="249"/>
      <c r="W686" s="249"/>
    </row>
    <row r="687" spans="1:23" x14ac:dyDescent="0.25">
      <c r="A687" s="249"/>
      <c r="B687" s="339"/>
      <c r="C687" s="339"/>
      <c r="D687" s="339"/>
      <c r="E687" s="249"/>
      <c r="F687" s="249"/>
      <c r="G687" s="249"/>
      <c r="U687" s="249"/>
      <c r="V687" s="249"/>
      <c r="W687" s="249"/>
    </row>
    <row r="688" spans="1:23" x14ac:dyDescent="0.25">
      <c r="A688" s="249"/>
      <c r="B688" s="339"/>
      <c r="C688" s="339"/>
      <c r="D688" s="339"/>
      <c r="E688" s="249"/>
      <c r="F688" s="249"/>
      <c r="G688" s="249"/>
      <c r="U688" s="249"/>
      <c r="V688" s="249"/>
      <c r="W688" s="249"/>
    </row>
    <row r="689" spans="1:23" x14ac:dyDescent="0.25">
      <c r="A689" s="249"/>
      <c r="B689" s="339"/>
      <c r="C689" s="339"/>
      <c r="D689" s="339"/>
      <c r="E689" s="249"/>
      <c r="F689" s="249"/>
      <c r="G689" s="249"/>
      <c r="U689" s="249"/>
      <c r="V689" s="249"/>
      <c r="W689" s="249"/>
    </row>
    <row r="690" spans="1:23" x14ac:dyDescent="0.25">
      <c r="A690" s="249"/>
      <c r="B690" s="339"/>
      <c r="C690" s="339"/>
      <c r="D690" s="339"/>
      <c r="E690" s="249"/>
      <c r="F690" s="249"/>
      <c r="G690" s="249"/>
      <c r="U690" s="249"/>
      <c r="V690" s="249"/>
      <c r="W690" s="249"/>
    </row>
    <row r="691" spans="1:23" x14ac:dyDescent="0.25">
      <c r="A691" s="249"/>
      <c r="B691" s="339"/>
      <c r="C691" s="339"/>
      <c r="D691" s="339"/>
      <c r="E691" s="249"/>
      <c r="F691" s="249"/>
      <c r="G691" s="249"/>
      <c r="U691" s="249"/>
      <c r="V691" s="249"/>
      <c r="W691" s="249"/>
    </row>
    <row r="692" spans="1:23" x14ac:dyDescent="0.25">
      <c r="A692" s="249"/>
      <c r="B692" s="339"/>
      <c r="C692" s="339"/>
      <c r="D692" s="339"/>
      <c r="E692" s="249"/>
      <c r="F692" s="249"/>
      <c r="G692" s="249"/>
      <c r="U692" s="249"/>
      <c r="V692" s="249"/>
      <c r="W692" s="249"/>
    </row>
    <row r="693" spans="1:23" x14ac:dyDescent="0.25">
      <c r="A693" s="249"/>
      <c r="B693" s="339"/>
      <c r="C693" s="339"/>
      <c r="D693" s="339"/>
      <c r="E693" s="249"/>
      <c r="F693" s="249"/>
      <c r="G693" s="249"/>
      <c r="U693" s="249"/>
      <c r="V693" s="249"/>
      <c r="W693" s="249"/>
    </row>
    <row r="694" spans="1:23" x14ac:dyDescent="0.25">
      <c r="A694" s="249"/>
      <c r="B694" s="339"/>
      <c r="C694" s="339"/>
      <c r="D694" s="339"/>
      <c r="E694" s="249"/>
      <c r="F694" s="249"/>
      <c r="G694" s="249"/>
      <c r="U694" s="249"/>
      <c r="V694" s="249"/>
      <c r="W694" s="249"/>
    </row>
    <row r="695" spans="1:23" x14ac:dyDescent="0.25">
      <c r="A695" s="249"/>
      <c r="B695" s="339"/>
      <c r="C695" s="339"/>
      <c r="D695" s="339"/>
      <c r="E695" s="249"/>
      <c r="F695" s="249"/>
      <c r="G695" s="249"/>
      <c r="U695" s="249"/>
      <c r="V695" s="249"/>
      <c r="W695" s="249"/>
    </row>
    <row r="696" spans="1:23" x14ac:dyDescent="0.25">
      <c r="A696" s="249"/>
      <c r="B696" s="339"/>
      <c r="C696" s="339"/>
      <c r="D696" s="339"/>
      <c r="E696" s="249"/>
      <c r="F696" s="249"/>
      <c r="G696" s="249"/>
      <c r="U696" s="249"/>
      <c r="V696" s="249"/>
      <c r="W696" s="249"/>
    </row>
    <row r="697" spans="1:23" x14ac:dyDescent="0.25">
      <c r="A697" s="249"/>
      <c r="B697" s="339"/>
      <c r="C697" s="339"/>
      <c r="D697" s="339"/>
      <c r="E697" s="249"/>
      <c r="F697" s="249"/>
      <c r="G697" s="249"/>
      <c r="U697" s="249"/>
      <c r="V697" s="249"/>
      <c r="W697" s="249"/>
    </row>
    <row r="698" spans="1:23" x14ac:dyDescent="0.25">
      <c r="A698" s="249"/>
      <c r="B698" s="339"/>
      <c r="C698" s="339"/>
      <c r="D698" s="339"/>
      <c r="E698" s="249"/>
      <c r="F698" s="249"/>
      <c r="G698" s="249"/>
      <c r="U698" s="249"/>
      <c r="V698" s="249"/>
      <c r="W698" s="249"/>
    </row>
    <row r="699" spans="1:23" x14ac:dyDescent="0.25">
      <c r="A699" s="249"/>
      <c r="B699" s="339"/>
      <c r="C699" s="339"/>
      <c r="D699" s="339"/>
      <c r="E699" s="249"/>
      <c r="F699" s="249"/>
      <c r="G699" s="249"/>
      <c r="U699" s="249"/>
      <c r="V699" s="249"/>
      <c r="W699" s="249"/>
    </row>
    <row r="700" spans="1:23" x14ac:dyDescent="0.25">
      <c r="A700" s="249"/>
      <c r="B700" s="339"/>
      <c r="C700" s="339"/>
      <c r="D700" s="339"/>
      <c r="E700" s="249"/>
      <c r="F700" s="249"/>
      <c r="G700" s="249"/>
      <c r="U700" s="249"/>
      <c r="V700" s="249"/>
      <c r="W700" s="249"/>
    </row>
    <row r="701" spans="1:23" x14ac:dyDescent="0.25">
      <c r="A701" s="249"/>
      <c r="B701" s="339"/>
      <c r="C701" s="339"/>
      <c r="D701" s="339"/>
      <c r="E701" s="249"/>
      <c r="F701" s="249"/>
      <c r="G701" s="249"/>
      <c r="U701" s="249"/>
      <c r="V701" s="249"/>
      <c r="W701" s="249"/>
    </row>
    <row r="702" spans="1:23" x14ac:dyDescent="0.25">
      <c r="A702" s="249"/>
      <c r="B702" s="339"/>
      <c r="C702" s="339"/>
      <c r="D702" s="339"/>
      <c r="E702" s="249"/>
      <c r="F702" s="249"/>
      <c r="G702" s="249"/>
      <c r="U702" s="249"/>
      <c r="V702" s="249"/>
      <c r="W702" s="249"/>
    </row>
    <row r="703" spans="1:23" x14ac:dyDescent="0.25">
      <c r="A703" s="249"/>
      <c r="B703" s="339"/>
      <c r="C703" s="339"/>
      <c r="D703" s="339"/>
      <c r="E703" s="249"/>
      <c r="F703" s="249"/>
      <c r="G703" s="249"/>
      <c r="U703" s="249"/>
      <c r="V703" s="249"/>
      <c r="W703" s="249"/>
    </row>
    <row r="704" spans="1:23" x14ac:dyDescent="0.25">
      <c r="A704" s="249"/>
      <c r="B704" s="339"/>
      <c r="C704" s="339"/>
      <c r="D704" s="339"/>
      <c r="E704" s="249"/>
      <c r="F704" s="249"/>
      <c r="G704" s="249"/>
      <c r="U704" s="249"/>
      <c r="V704" s="249"/>
      <c r="W704" s="249"/>
    </row>
    <row r="705" spans="1:23" x14ac:dyDescent="0.25">
      <c r="A705" s="249"/>
      <c r="B705" s="339"/>
      <c r="C705" s="339"/>
      <c r="D705" s="339"/>
      <c r="E705" s="249"/>
      <c r="F705" s="249"/>
      <c r="G705" s="249"/>
      <c r="U705" s="249"/>
      <c r="V705" s="249"/>
      <c r="W705" s="249"/>
    </row>
    <row r="706" spans="1:23" x14ac:dyDescent="0.25">
      <c r="A706" s="249"/>
      <c r="B706" s="339"/>
      <c r="C706" s="339"/>
      <c r="D706" s="339"/>
      <c r="E706" s="249"/>
      <c r="F706" s="249"/>
      <c r="G706" s="249"/>
      <c r="U706" s="249"/>
      <c r="V706" s="249"/>
      <c r="W706" s="249"/>
    </row>
    <row r="707" spans="1:23" x14ac:dyDescent="0.25">
      <c r="A707" s="249"/>
      <c r="B707" s="339"/>
      <c r="C707" s="339"/>
      <c r="D707" s="339"/>
      <c r="E707" s="249"/>
      <c r="F707" s="249"/>
      <c r="G707" s="249"/>
      <c r="U707" s="249"/>
      <c r="V707" s="249"/>
      <c r="W707" s="249"/>
    </row>
    <row r="708" spans="1:23" x14ac:dyDescent="0.25">
      <c r="A708" s="249"/>
      <c r="B708" s="339"/>
      <c r="C708" s="339"/>
      <c r="D708" s="339"/>
      <c r="E708" s="249"/>
      <c r="F708" s="249"/>
      <c r="G708" s="249"/>
      <c r="U708" s="249"/>
      <c r="V708" s="249"/>
      <c r="W708" s="249"/>
    </row>
    <row r="709" spans="1:23" x14ac:dyDescent="0.25">
      <c r="A709" s="249"/>
      <c r="B709" s="339"/>
      <c r="C709" s="339"/>
      <c r="D709" s="339"/>
      <c r="E709" s="249"/>
      <c r="F709" s="249"/>
      <c r="G709" s="249"/>
      <c r="U709" s="249"/>
      <c r="V709" s="249"/>
      <c r="W709" s="249"/>
    </row>
    <row r="710" spans="1:23" x14ac:dyDescent="0.25">
      <c r="A710" s="249"/>
      <c r="B710" s="339"/>
      <c r="C710" s="339"/>
      <c r="D710" s="339"/>
      <c r="E710" s="249"/>
      <c r="F710" s="249"/>
      <c r="G710" s="249"/>
      <c r="U710" s="249"/>
      <c r="V710" s="249"/>
      <c r="W710" s="249"/>
    </row>
    <row r="711" spans="1:23" x14ac:dyDescent="0.25">
      <c r="A711" s="249"/>
      <c r="B711" s="339"/>
      <c r="C711" s="339"/>
      <c r="D711" s="339"/>
      <c r="E711" s="249"/>
      <c r="F711" s="249"/>
      <c r="G711" s="249"/>
      <c r="U711" s="249"/>
      <c r="V711" s="249"/>
      <c r="W711" s="249"/>
    </row>
    <row r="712" spans="1:23" x14ac:dyDescent="0.25">
      <c r="A712" s="249"/>
      <c r="B712" s="339"/>
      <c r="C712" s="339"/>
      <c r="D712" s="339"/>
      <c r="E712" s="249"/>
      <c r="F712" s="249"/>
      <c r="G712" s="249"/>
      <c r="U712" s="249"/>
      <c r="V712" s="249"/>
      <c r="W712" s="249"/>
    </row>
    <row r="713" spans="1:23" x14ac:dyDescent="0.25">
      <c r="A713" s="249"/>
      <c r="B713" s="339"/>
      <c r="C713" s="339"/>
      <c r="D713" s="339"/>
      <c r="E713" s="249"/>
      <c r="F713" s="249"/>
      <c r="G713" s="249"/>
      <c r="U713" s="249"/>
      <c r="V713" s="249"/>
      <c r="W713" s="249"/>
    </row>
    <row r="714" spans="1:23" x14ac:dyDescent="0.25">
      <c r="A714" s="249"/>
      <c r="B714" s="339"/>
      <c r="C714" s="339"/>
      <c r="D714" s="339"/>
      <c r="E714" s="249"/>
      <c r="F714" s="249"/>
      <c r="G714" s="249"/>
      <c r="U714" s="249"/>
      <c r="V714" s="249"/>
      <c r="W714" s="249"/>
    </row>
    <row r="715" spans="1:23" x14ac:dyDescent="0.25">
      <c r="A715" s="249"/>
      <c r="B715" s="339"/>
      <c r="C715" s="339"/>
      <c r="D715" s="339"/>
      <c r="E715" s="249"/>
      <c r="F715" s="249"/>
      <c r="G715" s="249"/>
      <c r="U715" s="249"/>
      <c r="V715" s="249"/>
      <c r="W715" s="249"/>
    </row>
    <row r="716" spans="1:23" x14ac:dyDescent="0.25">
      <c r="A716" s="249"/>
      <c r="B716" s="339"/>
      <c r="C716" s="339"/>
      <c r="D716" s="339"/>
      <c r="E716" s="249"/>
      <c r="F716" s="249"/>
      <c r="G716" s="249"/>
      <c r="U716" s="249"/>
      <c r="V716" s="249"/>
      <c r="W716" s="249"/>
    </row>
    <row r="717" spans="1:23" x14ac:dyDescent="0.25">
      <c r="A717" s="249"/>
      <c r="B717" s="339"/>
      <c r="C717" s="339"/>
      <c r="D717" s="339"/>
      <c r="E717" s="249"/>
      <c r="F717" s="249"/>
      <c r="G717" s="249"/>
      <c r="U717" s="249"/>
      <c r="V717" s="249"/>
      <c r="W717" s="249"/>
    </row>
    <row r="718" spans="1:23" x14ac:dyDescent="0.25">
      <c r="A718" s="249"/>
      <c r="B718" s="339"/>
      <c r="C718" s="339"/>
      <c r="D718" s="339"/>
      <c r="E718" s="249"/>
      <c r="F718" s="249"/>
      <c r="G718" s="249"/>
      <c r="U718" s="249"/>
      <c r="V718" s="249"/>
      <c r="W718" s="249"/>
    </row>
    <row r="719" spans="1:23" x14ac:dyDescent="0.25">
      <c r="A719" s="249"/>
      <c r="B719" s="339"/>
      <c r="C719" s="339"/>
      <c r="D719" s="339"/>
      <c r="E719" s="249"/>
      <c r="F719" s="249"/>
      <c r="G719" s="249"/>
      <c r="U719" s="249"/>
      <c r="V719" s="249"/>
      <c r="W719" s="249"/>
    </row>
    <row r="720" spans="1:23" x14ac:dyDescent="0.25">
      <c r="A720" s="249"/>
      <c r="B720" s="339"/>
      <c r="C720" s="339"/>
      <c r="D720" s="339"/>
      <c r="E720" s="249"/>
      <c r="F720" s="249"/>
      <c r="G720" s="249"/>
      <c r="U720" s="249"/>
      <c r="V720" s="249"/>
      <c r="W720" s="249"/>
    </row>
    <row r="721" spans="1:23" x14ac:dyDescent="0.25">
      <c r="A721" s="249"/>
      <c r="B721" s="339"/>
      <c r="C721" s="339"/>
      <c r="D721" s="339"/>
      <c r="E721" s="249"/>
      <c r="F721" s="249"/>
      <c r="G721" s="249"/>
      <c r="U721" s="249"/>
      <c r="V721" s="249"/>
      <c r="W721" s="249"/>
    </row>
    <row r="722" spans="1:23" x14ac:dyDescent="0.25">
      <c r="A722" s="249"/>
      <c r="B722" s="339"/>
      <c r="C722" s="339"/>
      <c r="D722" s="339"/>
      <c r="E722" s="249"/>
      <c r="F722" s="249"/>
      <c r="G722" s="249"/>
      <c r="U722" s="249"/>
      <c r="V722" s="249"/>
      <c r="W722" s="249"/>
    </row>
    <row r="723" spans="1:23" x14ac:dyDescent="0.25">
      <c r="A723" s="249"/>
      <c r="B723" s="339"/>
      <c r="C723" s="339"/>
      <c r="D723" s="339"/>
      <c r="E723" s="249"/>
      <c r="F723" s="249"/>
      <c r="G723" s="249"/>
      <c r="U723" s="249"/>
      <c r="V723" s="249"/>
      <c r="W723" s="249"/>
    </row>
    <row r="724" spans="1:23" x14ac:dyDescent="0.25">
      <c r="A724" s="249"/>
      <c r="B724" s="339"/>
      <c r="C724" s="339"/>
      <c r="D724" s="339"/>
      <c r="E724" s="249"/>
      <c r="F724" s="249"/>
      <c r="G724" s="249"/>
      <c r="U724" s="249"/>
      <c r="V724" s="249"/>
      <c r="W724" s="249"/>
    </row>
    <row r="725" spans="1:23" x14ac:dyDescent="0.25">
      <c r="A725" s="249"/>
      <c r="B725" s="339"/>
      <c r="C725" s="339"/>
      <c r="D725" s="339"/>
      <c r="E725" s="249"/>
      <c r="F725" s="249"/>
      <c r="G725" s="249"/>
      <c r="U725" s="249"/>
      <c r="V725" s="249"/>
      <c r="W725" s="249"/>
    </row>
    <row r="726" spans="1:23" x14ac:dyDescent="0.25">
      <c r="A726" s="249"/>
      <c r="B726" s="339"/>
      <c r="C726" s="339"/>
      <c r="D726" s="339"/>
      <c r="E726" s="249"/>
      <c r="F726" s="249"/>
      <c r="G726" s="249"/>
      <c r="U726" s="249"/>
      <c r="V726" s="249"/>
      <c r="W726" s="249"/>
    </row>
  </sheetData>
  <phoneticPr fontId="26" type="noConversion"/>
  <hyperlinks>
    <hyperlink ref="U15" r:id="rId1"/>
    <hyperlink ref="U519" r:id="rId2"/>
    <hyperlink ref="U195" r:id="rId3"/>
    <hyperlink ref="U315" r:id="rId4"/>
    <hyperlink ref="U123" r:id="rId5"/>
    <hyperlink ref="U99" r:id="rId6"/>
    <hyperlink ref="U111" r:id="rId7"/>
    <hyperlink ref="U171" r:id="rId8"/>
    <hyperlink ref="U327" r:id="rId9"/>
    <hyperlink ref="U183" r:id="rId10"/>
    <hyperlink ref="U147" r:id="rId11"/>
    <hyperlink ref="U159" r:id="rId12"/>
    <hyperlink ref="U459" r:id="rId13"/>
    <hyperlink ref="U351" r:id="rId14" location="MOESM247" display="https://www.nature.com/articles/ngeo2635 - MOESM247"/>
    <hyperlink ref="U339" r:id="rId15"/>
    <hyperlink ref="U303" r:id="rId16" location="investment-by-region" display="https://ourworldindata.org/renewable-energy - investment-by-region"/>
    <hyperlink ref="U291" r:id="rId17"/>
    <hyperlink ref="U363" r:id="rId18" location="data/RFN" display="http://www.fao.org/faostat/en/ - data/RFN"/>
    <hyperlink ref="U39" r:id="rId19" location="data/FBS" display="http://www.fao.org/faostat/en/ - data/FBS"/>
    <hyperlink ref="U27" r:id="rId20" location="data/FBS"/>
    <hyperlink ref="U3" r:id="rId21" location="data/FS" display="http://www.fao.org/faostat/en/ - data/FS"/>
    <hyperlink ref="U63" r:id="rId22" location="data/EL" display="http://www.fao.org/faostat/en/ - data/EL"/>
    <hyperlink ref="U495" r:id="rId23"/>
    <hyperlink ref="U483" r:id="rId24"/>
    <hyperlink ref="U543" r:id="rId25"/>
    <hyperlink ref="V195" r:id="rId26"/>
    <hyperlink ref="V399" r:id="rId27"/>
    <hyperlink ref="W399" r:id="rId28"/>
    <hyperlink ref="V207" r:id="rId29"/>
    <hyperlink ref="U375" r:id="rId30" location="data/RFN" display="http://www.fao.org/faostat/en/ - data/RFN"/>
    <hyperlink ref="U387" r:id="rId31"/>
    <hyperlink ref="W435" r:id="rId32"/>
    <hyperlink ref="V375" r:id="rId33"/>
    <hyperlink ref="V363" r:id="rId34"/>
    <hyperlink ref="V519" r:id="rId35" location="data/RL" display="http://www.fao.org/faostat/en/ - data/RL"/>
    <hyperlink ref="U51" r:id="rId36"/>
    <hyperlink ref="U75" r:id="rId37"/>
    <hyperlink ref="U87" r:id="rId38"/>
    <hyperlink ref="U135" r:id="rId39" display="https://tntcat.iiasa.ac.at/SspDb/dsd?Action=htmlpage&amp;page=about"/>
    <hyperlink ref="U219" r:id="rId40"/>
    <hyperlink ref="U231" r:id="rId41"/>
    <hyperlink ref="U243" r:id="rId42"/>
    <hyperlink ref="U255" r:id="rId43"/>
    <hyperlink ref="U267" r:id="rId44"/>
    <hyperlink ref="U279" r:id="rId45"/>
    <hyperlink ref="U531" r:id="rId46"/>
    <hyperlink ref="V483" r:id="rId47"/>
    <hyperlink ref="V495" r:id="rId48"/>
    <hyperlink ref="U507" r:id="rId49"/>
    <hyperlink ref="V327" r:id="rId50"/>
    <hyperlink ref="U411" r:id="rId51" location="data/GT" display="data/GT"/>
    <hyperlink ref="U447" r:id="rId52" location="data/GT" display="data/GT"/>
    <hyperlink ref="U423" r:id="rId53" location="data/GT" display="data/GT"/>
    <hyperlink ref="U435" r:id="rId54" location="data/GT" display="data/GT"/>
    <hyperlink ref="U471" r:id="rId55"/>
    <hyperlink ref="V231" r:id="rId56"/>
    <hyperlink ref="V219" r:id="rId57"/>
  </hyperlinks>
  <pageMargins left="0.7" right="0.7" top="0.75" bottom="0.75" header="0.3" footer="0.3"/>
  <pageSetup paperSize="9" orientation="portrait" horizontalDpi="1200" verticalDpi="1200" r:id="rId58"/>
  <tableParts count="1">
    <tablePart r:id="rId59"/>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4"/>
  <sheetViews>
    <sheetView topLeftCell="B1" workbookViewId="0">
      <pane xSplit="1" ySplit="1" topLeftCell="C8" activePane="bottomRight" state="frozen"/>
      <selection activeCell="B1" sqref="B1"/>
      <selection pane="topRight" activeCell="C1" sqref="C1"/>
      <selection pane="bottomLeft" activeCell="B2" sqref="B2"/>
      <selection pane="bottomRight" activeCell="B30" sqref="B30"/>
    </sheetView>
  </sheetViews>
  <sheetFormatPr defaultColWidth="9" defaultRowHeight="15" x14ac:dyDescent="0.25"/>
  <cols>
    <col min="1" max="1" width="8.140625" style="171" customWidth="1"/>
    <col min="2" max="2" width="56.5703125" style="171" customWidth="1"/>
    <col min="3" max="3" width="20" style="171" customWidth="1"/>
    <col min="4" max="4" width="35.7109375" style="171" customWidth="1"/>
    <col min="5" max="5" width="22" style="245" customWidth="1"/>
    <col min="6" max="6" width="16.140625" style="245" customWidth="1"/>
    <col min="7" max="7" width="21.7109375" style="243" customWidth="1"/>
    <col min="8" max="8" width="17.85546875" style="308" customWidth="1"/>
    <col min="9" max="9" width="30.7109375" style="243" customWidth="1"/>
    <col min="10" max="10" width="22.28515625" style="286" customWidth="1"/>
    <col min="11" max="11" width="21.85546875" style="286" customWidth="1"/>
    <col min="12" max="12" width="15.28515625" style="308" customWidth="1"/>
    <col min="13" max="13" width="55.42578125" style="243" customWidth="1"/>
    <col min="14" max="16384" width="9" style="243"/>
  </cols>
  <sheetData>
    <row r="1" spans="1:13" s="30" customFormat="1" x14ac:dyDescent="0.25">
      <c r="A1" s="260" t="s">
        <v>526</v>
      </c>
      <c r="B1" s="317" t="s">
        <v>468</v>
      </c>
      <c r="C1" s="260" t="s">
        <v>408</v>
      </c>
      <c r="D1" s="260" t="s">
        <v>941</v>
      </c>
      <c r="E1" s="261" t="s">
        <v>909</v>
      </c>
      <c r="F1" s="261" t="s">
        <v>1056</v>
      </c>
      <c r="G1" s="260" t="s">
        <v>1043</v>
      </c>
      <c r="H1" s="260" t="s">
        <v>1052</v>
      </c>
      <c r="I1" s="260" t="s">
        <v>908</v>
      </c>
      <c r="J1" s="288" t="s">
        <v>1044</v>
      </c>
      <c r="K1" s="288" t="s">
        <v>1046</v>
      </c>
      <c r="L1" s="275" t="s">
        <v>1057</v>
      </c>
      <c r="M1" s="319" t="s">
        <v>907</v>
      </c>
    </row>
    <row r="2" spans="1:13" x14ac:dyDescent="0.25">
      <c r="A2" s="173" t="s">
        <v>529</v>
      </c>
      <c r="B2" s="271" t="s">
        <v>510</v>
      </c>
      <c r="C2" s="173" t="s">
        <v>473</v>
      </c>
      <c r="D2" s="173">
        <v>0</v>
      </c>
      <c r="E2" s="173">
        <v>2015</v>
      </c>
      <c r="F2" s="173">
        <v>0</v>
      </c>
      <c r="G2" s="264">
        <f t="shared" ref="G2:G29" si="0">D2+D2*H2</f>
        <v>0</v>
      </c>
      <c r="H2" s="171"/>
      <c r="I2" s="171" t="s">
        <v>982</v>
      </c>
      <c r="J2" s="264">
        <f>(Table4[[#This Row],[Green target threshold]]-Table4[[#This Row],[FeliX global average projection]])*0.5+Table4[[#This Row],[FeliX global average projection]]</f>
        <v>0</v>
      </c>
      <c r="K2" s="171">
        <v>0</v>
      </c>
      <c r="L2" s="171">
        <v>100</v>
      </c>
      <c r="M2" s="320" t="s">
        <v>987</v>
      </c>
    </row>
    <row r="3" spans="1:13" x14ac:dyDescent="0.25">
      <c r="A3" s="173" t="s">
        <v>530</v>
      </c>
      <c r="B3" s="318" t="s">
        <v>531</v>
      </c>
      <c r="C3" s="173" t="s">
        <v>532</v>
      </c>
      <c r="D3" s="173">
        <v>6.9519999999999998E-3</v>
      </c>
      <c r="E3" s="173">
        <v>2015</v>
      </c>
      <c r="F3" s="173">
        <v>0</v>
      </c>
      <c r="G3" s="264">
        <v>0</v>
      </c>
      <c r="H3" s="171"/>
      <c r="I3" s="171" t="s">
        <v>982</v>
      </c>
      <c r="J3" s="264">
        <f>(Table4[[#This Row],[Green target threshold]]-Table4[[#This Row],[FeliX global average projection]])*0.5+Table4[[#This Row],[FeliX global average projection]]</f>
        <v>3.4759999999999999E-3</v>
      </c>
      <c r="K3" s="171">
        <v>6.9519999999999998E-3</v>
      </c>
      <c r="L3" s="171">
        <f>K3+K3*0.5</f>
        <v>1.0428E-2</v>
      </c>
      <c r="M3" s="320" t="s">
        <v>987</v>
      </c>
    </row>
    <row r="4" spans="1:13" x14ac:dyDescent="0.25">
      <c r="A4" s="171" t="s">
        <v>533</v>
      </c>
      <c r="B4" s="318" t="s">
        <v>471</v>
      </c>
      <c r="C4" s="173" t="s">
        <v>472</v>
      </c>
      <c r="D4" s="263">
        <v>80600000</v>
      </c>
      <c r="E4" s="173">
        <v>2015</v>
      </c>
      <c r="F4" s="263">
        <v>0</v>
      </c>
      <c r="G4" s="264">
        <v>0</v>
      </c>
      <c r="H4" s="171"/>
      <c r="I4" s="171" t="s">
        <v>982</v>
      </c>
      <c r="J4" s="264">
        <f>(Table4[[#This Row],[Green target threshold]]-Table4[[#This Row],[FeliX global average projection]])*0.5+Table4[[#This Row],[FeliX global average projection]]</f>
        <v>40300000</v>
      </c>
      <c r="K4" s="171">
        <v>80600000</v>
      </c>
      <c r="L4" s="171">
        <f>K4+K4*0.5</f>
        <v>120900000</v>
      </c>
      <c r="M4" s="320" t="s">
        <v>987</v>
      </c>
    </row>
    <row r="5" spans="1:13" x14ac:dyDescent="0.25">
      <c r="A5" s="173" t="s">
        <v>543</v>
      </c>
      <c r="B5" s="318" t="s">
        <v>507</v>
      </c>
      <c r="C5" s="173" t="s">
        <v>473</v>
      </c>
      <c r="D5" s="173">
        <v>0.78796699999999997</v>
      </c>
      <c r="E5" s="173">
        <v>2015</v>
      </c>
      <c r="F5" s="263">
        <f>Table4[[#This Row],[Green target threshold]]-Table4[[#This Row],[Green target threshold]]*0.5</f>
        <v>0.27578844999999996</v>
      </c>
      <c r="G5" s="264">
        <f>D5+D5*H5</f>
        <v>0.55157689999999993</v>
      </c>
      <c r="H5" s="171">
        <v>-0.3</v>
      </c>
      <c r="I5" s="171" t="s">
        <v>989</v>
      </c>
      <c r="J5" s="264">
        <f>(Table4[[#This Row],[Green target threshold]]-Table4[[#This Row],[FeliX global average projection]])*0.5+Table4[[#This Row],[FeliX global average projection]]</f>
        <v>0.66977194999999989</v>
      </c>
      <c r="K5" s="171">
        <v>0.78796699999999997</v>
      </c>
      <c r="L5" s="171">
        <v>100</v>
      </c>
      <c r="M5" s="320" t="s">
        <v>988</v>
      </c>
    </row>
    <row r="6" spans="1:13" x14ac:dyDescent="0.25">
      <c r="A6" s="173" t="s">
        <v>569</v>
      </c>
      <c r="B6" s="271" t="s">
        <v>478</v>
      </c>
      <c r="C6" s="173" t="s">
        <v>473</v>
      </c>
      <c r="D6" s="173">
        <v>4.0006399999999998</v>
      </c>
      <c r="E6" s="173">
        <v>2015</v>
      </c>
      <c r="F6" s="173">
        <v>100</v>
      </c>
      <c r="G6" s="264">
        <f t="shared" si="0"/>
        <v>4.0006399999999998</v>
      </c>
      <c r="H6" s="171"/>
      <c r="I6" s="171" t="s">
        <v>982</v>
      </c>
      <c r="J6" s="264">
        <f>(Table4[[#This Row],[Green target threshold]]-Table4[[#This Row],[FeliX global average projection]])*0.5+Table4[[#This Row],[FeliX global average projection]]</f>
        <v>4.0006399999999998</v>
      </c>
      <c r="K6" s="171">
        <v>4.0006399999999998</v>
      </c>
      <c r="L6" s="171">
        <v>0</v>
      </c>
      <c r="M6" s="320" t="s">
        <v>990</v>
      </c>
    </row>
    <row r="7" spans="1:13" x14ac:dyDescent="0.25">
      <c r="A7" s="173" t="s">
        <v>528</v>
      </c>
      <c r="B7" s="271" t="s">
        <v>1123</v>
      </c>
      <c r="C7" s="173" t="s">
        <v>1053</v>
      </c>
      <c r="D7" s="173">
        <v>17.896999999999998</v>
      </c>
      <c r="E7" s="173">
        <v>2015</v>
      </c>
      <c r="F7" s="263">
        <f>G7+G7*0.5</f>
        <v>40.268249999999995</v>
      </c>
      <c r="G7" s="264">
        <f t="shared" si="0"/>
        <v>26.845499999999998</v>
      </c>
      <c r="H7" s="171">
        <v>0.5</v>
      </c>
      <c r="I7" s="171" t="s">
        <v>989</v>
      </c>
      <c r="J7" s="264">
        <f>(Table4[[#This Row],[Green target threshold]]-Table4[[#This Row],[FeliX global average projection]])*0.5+Table4[[#This Row],[FeliX global average projection]]</f>
        <v>22.371249999999996</v>
      </c>
      <c r="K7" s="171">
        <v>17.896999999999998</v>
      </c>
      <c r="L7" s="171">
        <f>K7-K7*0.5</f>
        <v>8.9484999999999992</v>
      </c>
      <c r="M7" s="320" t="s">
        <v>991</v>
      </c>
    </row>
    <row r="8" spans="1:13" x14ac:dyDescent="0.25">
      <c r="A8" s="173" t="s">
        <v>761</v>
      </c>
      <c r="B8" s="271" t="s">
        <v>500</v>
      </c>
      <c r="C8" s="173" t="s">
        <v>583</v>
      </c>
      <c r="D8" s="173">
        <v>2.12E-4</v>
      </c>
      <c r="E8" s="173">
        <v>2015</v>
      </c>
      <c r="F8" s="173">
        <f>G8-G8*0.5</f>
        <v>5.3000000000000001E-5</v>
      </c>
      <c r="G8" s="264">
        <f t="shared" si="0"/>
        <v>1.06E-4</v>
      </c>
      <c r="H8" s="171">
        <v>-0.5</v>
      </c>
      <c r="I8" s="171" t="s">
        <v>989</v>
      </c>
      <c r="J8" s="264">
        <f>(Table4[[#This Row],[Green target threshold]]-Table4[[#This Row],[FeliX global average projection]])*0.5+Table4[[#This Row],[FeliX global average projection]]</f>
        <v>1.5900000000000002E-4</v>
      </c>
      <c r="K8" s="171">
        <v>2.12E-4</v>
      </c>
      <c r="L8" s="171">
        <f>K8+K8*0.5</f>
        <v>3.1800000000000003E-4</v>
      </c>
      <c r="M8" s="320" t="s">
        <v>980</v>
      </c>
    </row>
    <row r="9" spans="1:13" x14ac:dyDescent="0.25">
      <c r="A9" s="173" t="s">
        <v>580</v>
      </c>
      <c r="B9" s="271" t="s">
        <v>581</v>
      </c>
      <c r="C9" s="173" t="s">
        <v>191</v>
      </c>
      <c r="D9" s="173">
        <v>0.94175500000000001</v>
      </c>
      <c r="E9" s="173">
        <v>2015</v>
      </c>
      <c r="F9" s="173">
        <v>1</v>
      </c>
      <c r="G9" s="264">
        <f t="shared" si="0"/>
        <v>0.94175500000000001</v>
      </c>
      <c r="H9" s="171"/>
      <c r="I9" s="171" t="s">
        <v>982</v>
      </c>
      <c r="J9" s="264">
        <f>(Table4[[#This Row],[Green target threshold]]-Table4[[#This Row],[FeliX global average projection]])*0.5+Table4[[#This Row],[FeliX global average projection]]</f>
        <v>0.94175500000000001</v>
      </c>
      <c r="K9" s="171">
        <v>0.94175500000000001</v>
      </c>
      <c r="L9" s="171">
        <f>K9-K9*0.5</f>
        <v>0.4708775</v>
      </c>
      <c r="M9" s="320" t="s">
        <v>995</v>
      </c>
    </row>
    <row r="10" spans="1:13" x14ac:dyDescent="0.25">
      <c r="A10" s="173" t="s">
        <v>585</v>
      </c>
      <c r="B10" s="271" t="s">
        <v>1012</v>
      </c>
      <c r="C10" s="173" t="s">
        <v>591</v>
      </c>
      <c r="D10" s="173">
        <v>6.35297</v>
      </c>
      <c r="E10" s="173">
        <v>2015</v>
      </c>
      <c r="F10" s="173">
        <f>G10+G10*0.5</f>
        <v>14.294182500000002</v>
      </c>
      <c r="G10" s="264">
        <f t="shared" si="0"/>
        <v>9.5294550000000005</v>
      </c>
      <c r="H10" s="171">
        <v>0.5</v>
      </c>
      <c r="I10" s="171" t="s">
        <v>989</v>
      </c>
      <c r="J10" s="264">
        <f>(Table4[[#This Row],[Green target threshold]]-Table4[[#This Row],[FeliX global average projection]])*0.5+Table4[[#This Row],[FeliX global average projection]]</f>
        <v>7.9412125000000007</v>
      </c>
      <c r="K10" s="171">
        <v>6.35297</v>
      </c>
      <c r="L10" s="171">
        <f>K10-K10*0.5</f>
        <v>3.176485</v>
      </c>
      <c r="M10" s="320" t="s">
        <v>991</v>
      </c>
    </row>
    <row r="11" spans="1:13" x14ac:dyDescent="0.25">
      <c r="A11" s="173" t="s">
        <v>586</v>
      </c>
      <c r="B11" s="271" t="s">
        <v>1013</v>
      </c>
      <c r="C11" s="173" t="s">
        <v>591</v>
      </c>
      <c r="D11" s="173">
        <v>6.4350699999999996</v>
      </c>
      <c r="E11" s="173">
        <v>2015</v>
      </c>
      <c r="F11" s="173">
        <f>G11+G11*0.5</f>
        <v>14.478907499999998</v>
      </c>
      <c r="G11" s="264">
        <f t="shared" si="0"/>
        <v>9.6526049999999994</v>
      </c>
      <c r="H11" s="171">
        <v>0.5</v>
      </c>
      <c r="I11" s="171" t="s">
        <v>989</v>
      </c>
      <c r="J11" s="264">
        <f>(Table4[[#This Row],[Green target threshold]]-Table4[[#This Row],[FeliX global average projection]])*0.5+Table4[[#This Row],[FeliX global average projection]]</f>
        <v>8.0438374999999986</v>
      </c>
      <c r="K11" s="171">
        <v>6.4350699999999996</v>
      </c>
      <c r="L11" s="171">
        <f>K11-K11*0.5</f>
        <v>3.2175349999999998</v>
      </c>
      <c r="M11" s="320" t="s">
        <v>991</v>
      </c>
    </row>
    <row r="12" spans="1:13" x14ac:dyDescent="0.25">
      <c r="A12" s="173" t="s">
        <v>587</v>
      </c>
      <c r="B12" s="271" t="s">
        <v>1015</v>
      </c>
      <c r="C12" s="173" t="s">
        <v>539</v>
      </c>
      <c r="D12" s="173">
        <v>6.6097000000000003E-2</v>
      </c>
      <c r="E12" s="173">
        <v>2015</v>
      </c>
      <c r="F12" s="173">
        <f>G12+G12*0.5</f>
        <v>0.14871825</v>
      </c>
      <c r="G12" s="264">
        <f t="shared" si="0"/>
        <v>9.9145499999999998E-2</v>
      </c>
      <c r="H12" s="171">
        <v>0.5</v>
      </c>
      <c r="I12" s="171" t="s">
        <v>989</v>
      </c>
      <c r="J12" s="264">
        <f>(Table4[[#This Row],[Green target threshold]]-Table4[[#This Row],[FeliX global average projection]])*0.5+Table4[[#This Row],[FeliX global average projection]]</f>
        <v>8.2621250000000007E-2</v>
      </c>
      <c r="K12" s="171">
        <v>6.6097000000000003E-2</v>
      </c>
      <c r="L12" s="171">
        <f>K12-K12*0.5</f>
        <v>3.3048500000000001E-2</v>
      </c>
      <c r="M12" s="320" t="s">
        <v>991</v>
      </c>
    </row>
    <row r="13" spans="1:13" x14ac:dyDescent="0.25">
      <c r="A13" s="173" t="s">
        <v>588</v>
      </c>
      <c r="B13" s="271" t="s">
        <v>1016</v>
      </c>
      <c r="C13" s="173" t="s">
        <v>591</v>
      </c>
      <c r="D13" s="173">
        <v>8.2669999999999993E-2</v>
      </c>
      <c r="E13" s="173">
        <v>2015</v>
      </c>
      <c r="F13" s="173">
        <f>G13+G13*0.5</f>
        <v>0.18600749999999999</v>
      </c>
      <c r="G13" s="264">
        <f t="shared" si="0"/>
        <v>0.12400499999999999</v>
      </c>
      <c r="H13" s="171">
        <v>0.5</v>
      </c>
      <c r="I13" s="171" t="s">
        <v>989</v>
      </c>
      <c r="J13" s="264">
        <f>(Table4[[#This Row],[Green target threshold]]-Table4[[#This Row],[FeliX global average projection]])*0.5+Table4[[#This Row],[FeliX global average projection]]</f>
        <v>0.1033375</v>
      </c>
      <c r="K13" s="171">
        <v>8.2669999999999993E-2</v>
      </c>
      <c r="L13" s="171">
        <f>K13-K13*0.5</f>
        <v>4.1334999999999997E-2</v>
      </c>
      <c r="M13" s="320" t="s">
        <v>991</v>
      </c>
    </row>
    <row r="14" spans="1:13" x14ac:dyDescent="0.25">
      <c r="A14" s="173" t="s">
        <v>599</v>
      </c>
      <c r="B14" s="318" t="s">
        <v>602</v>
      </c>
      <c r="C14" s="173" t="s">
        <v>603</v>
      </c>
      <c r="D14" s="263">
        <v>77600000</v>
      </c>
      <c r="E14" s="173">
        <v>2015</v>
      </c>
      <c r="F14" s="263">
        <f>G14-G14*0.5</f>
        <v>19400000</v>
      </c>
      <c r="G14" s="264">
        <f t="shared" si="0"/>
        <v>38800000</v>
      </c>
      <c r="H14" s="264">
        <v>-0.5</v>
      </c>
      <c r="I14" s="171" t="s">
        <v>989</v>
      </c>
      <c r="J14" s="264">
        <f>(Table4[[#This Row],[Green target threshold]]-Table4[[#This Row],[FeliX global average projection]])*0.5+Table4[[#This Row],[FeliX global average projection]]</f>
        <v>58200000</v>
      </c>
      <c r="K14" s="171">
        <v>77600000</v>
      </c>
      <c r="L14" s="171">
        <f>K14+K14*0.5</f>
        <v>116400000</v>
      </c>
      <c r="M14" s="320" t="s">
        <v>980</v>
      </c>
    </row>
    <row r="15" spans="1:13" x14ac:dyDescent="0.25">
      <c r="A15" s="173" t="s">
        <v>600</v>
      </c>
      <c r="B15" s="318" t="s">
        <v>604</v>
      </c>
      <c r="C15" s="173" t="s">
        <v>472</v>
      </c>
      <c r="D15" s="263">
        <v>1650000</v>
      </c>
      <c r="E15" s="173">
        <v>2015</v>
      </c>
      <c r="F15" s="263">
        <f>G15-G15*0.5</f>
        <v>412500</v>
      </c>
      <c r="G15" s="264">
        <f t="shared" si="0"/>
        <v>825000</v>
      </c>
      <c r="H15" s="264">
        <v>-0.5</v>
      </c>
      <c r="I15" s="171" t="s">
        <v>989</v>
      </c>
      <c r="J15" s="264">
        <f>(Table4[[#This Row],[Green target threshold]]-Table4[[#This Row],[FeliX global average projection]])*0.5+Table4[[#This Row],[FeliX global average projection]]</f>
        <v>1237500</v>
      </c>
      <c r="K15" s="171">
        <v>1650000</v>
      </c>
      <c r="L15" s="171">
        <f>K15+K15*0.5</f>
        <v>2475000</v>
      </c>
      <c r="M15" s="320" t="s">
        <v>980</v>
      </c>
    </row>
    <row r="16" spans="1:13" x14ac:dyDescent="0.25">
      <c r="A16" s="173" t="s">
        <v>607</v>
      </c>
      <c r="B16" s="271" t="s">
        <v>1024</v>
      </c>
      <c r="C16" s="173" t="s">
        <v>473</v>
      </c>
      <c r="D16" s="173">
        <v>45.501600000000003</v>
      </c>
      <c r="E16" s="173">
        <v>2015</v>
      </c>
      <c r="F16" s="263">
        <f>G16-G16*0.5</f>
        <v>11.375400000000001</v>
      </c>
      <c r="G16" s="264">
        <f t="shared" si="0"/>
        <v>22.750800000000002</v>
      </c>
      <c r="H16" s="264">
        <v>-0.5</v>
      </c>
      <c r="I16" s="171" t="s">
        <v>989</v>
      </c>
      <c r="J16" s="264">
        <f>(Table4[[#This Row],[Green target threshold]]-Table4[[#This Row],[FeliX global average projection]])*0.5+Table4[[#This Row],[FeliX global average projection]]</f>
        <v>34.126200000000004</v>
      </c>
      <c r="K16" s="171">
        <v>45.501600000000003</v>
      </c>
      <c r="L16" s="171">
        <f>K16+K16*0.5</f>
        <v>68.252400000000009</v>
      </c>
      <c r="M16" s="320" t="s">
        <v>980</v>
      </c>
    </row>
    <row r="17" spans="1:13" x14ac:dyDescent="0.25">
      <c r="A17" s="173" t="s">
        <v>609</v>
      </c>
      <c r="B17" s="271" t="s">
        <v>494</v>
      </c>
      <c r="C17" s="173" t="s">
        <v>493</v>
      </c>
      <c r="D17" s="263">
        <v>1220000000</v>
      </c>
      <c r="E17" s="173">
        <v>2015</v>
      </c>
      <c r="F17" s="263">
        <f t="shared" ref="F17:F26" si="1">G17-G17*0.5</f>
        <v>305000000</v>
      </c>
      <c r="G17" s="264">
        <f t="shared" si="0"/>
        <v>610000000</v>
      </c>
      <c r="H17" s="264">
        <v>-0.5</v>
      </c>
      <c r="I17" s="171" t="s">
        <v>989</v>
      </c>
      <c r="J17" s="264">
        <f>(Table4[[#This Row],[Green target threshold]]-Table4[[#This Row],[FeliX global average projection]])*0.5+Table4[[#This Row],[FeliX global average projection]]</f>
        <v>915000000</v>
      </c>
      <c r="K17" s="171">
        <v>1220000000</v>
      </c>
      <c r="L17" s="171">
        <f t="shared" ref="L17:L26" si="2">K17+K17*0.5</f>
        <v>1830000000</v>
      </c>
      <c r="M17" s="320" t="s">
        <v>980</v>
      </c>
    </row>
    <row r="18" spans="1:13" x14ac:dyDescent="0.25">
      <c r="A18" s="173" t="s">
        <v>611</v>
      </c>
      <c r="B18" s="271" t="s">
        <v>635</v>
      </c>
      <c r="C18" s="173" t="s">
        <v>636</v>
      </c>
      <c r="D18" s="173">
        <v>0.178781</v>
      </c>
      <c r="E18" s="173">
        <v>2015</v>
      </c>
      <c r="F18" s="263">
        <f t="shared" si="1"/>
        <v>4.4695249999999999E-2</v>
      </c>
      <c r="G18" s="264">
        <f t="shared" si="0"/>
        <v>8.9390499999999998E-2</v>
      </c>
      <c r="H18" s="264">
        <v>-0.5</v>
      </c>
      <c r="I18" s="171" t="s">
        <v>989</v>
      </c>
      <c r="J18" s="264">
        <f>(Table4[[#This Row],[Green target threshold]]-Table4[[#This Row],[FeliX global average projection]])*0.5+Table4[[#This Row],[FeliX global average projection]]</f>
        <v>0.13408575</v>
      </c>
      <c r="K18" s="171">
        <v>0.178781</v>
      </c>
      <c r="L18" s="171">
        <f t="shared" si="2"/>
        <v>0.26817150000000001</v>
      </c>
      <c r="M18" s="320" t="s">
        <v>980</v>
      </c>
    </row>
    <row r="19" spans="1:13" x14ac:dyDescent="0.25">
      <c r="A19" s="173" t="s">
        <v>612</v>
      </c>
      <c r="B19" s="271" t="s">
        <v>1109</v>
      </c>
      <c r="C19" s="173" t="s">
        <v>493</v>
      </c>
      <c r="D19" s="263">
        <v>1770000000</v>
      </c>
      <c r="E19" s="173">
        <v>2015</v>
      </c>
      <c r="F19" s="263">
        <f t="shared" si="1"/>
        <v>442500000</v>
      </c>
      <c r="G19" s="264">
        <f t="shared" si="0"/>
        <v>885000000</v>
      </c>
      <c r="H19" s="264">
        <v>-0.5</v>
      </c>
      <c r="I19" s="171" t="s">
        <v>989</v>
      </c>
      <c r="J19" s="264">
        <f>(Table4[[#This Row],[Green target threshold]]-Table4[[#This Row],[FeliX global average projection]])*0.5+Table4[[#This Row],[FeliX global average projection]]</f>
        <v>1327500000</v>
      </c>
      <c r="K19" s="171">
        <v>1770000000</v>
      </c>
      <c r="L19" s="171">
        <f t="shared" si="2"/>
        <v>2655000000</v>
      </c>
      <c r="M19" s="320" t="s">
        <v>980</v>
      </c>
    </row>
    <row r="20" spans="1:13" x14ac:dyDescent="0.25">
      <c r="A20" s="173" t="s">
        <v>614</v>
      </c>
      <c r="B20" s="271" t="s">
        <v>1111</v>
      </c>
      <c r="C20" s="173" t="s">
        <v>636</v>
      </c>
      <c r="D20" s="173">
        <v>0.25861400000000001</v>
      </c>
      <c r="E20" s="173">
        <v>2015</v>
      </c>
      <c r="F20" s="263">
        <f t="shared" si="1"/>
        <v>6.4653500000000003E-2</v>
      </c>
      <c r="G20" s="264">
        <f t="shared" si="0"/>
        <v>0.12930700000000001</v>
      </c>
      <c r="H20" s="264">
        <v>-0.5</v>
      </c>
      <c r="I20" s="171" t="s">
        <v>989</v>
      </c>
      <c r="J20" s="264">
        <f>(Table4[[#This Row],[Green target threshold]]-Table4[[#This Row],[FeliX global average projection]])*0.5+Table4[[#This Row],[FeliX global average projection]]</f>
        <v>0.19396050000000001</v>
      </c>
      <c r="K20" s="171">
        <v>0.25861400000000001</v>
      </c>
      <c r="L20" s="171">
        <f t="shared" si="2"/>
        <v>0.38792100000000002</v>
      </c>
      <c r="M20" s="320" t="s">
        <v>980</v>
      </c>
    </row>
    <row r="21" spans="1:13" x14ac:dyDescent="0.25">
      <c r="A21" s="173" t="s">
        <v>615</v>
      </c>
      <c r="B21" s="271" t="s">
        <v>631</v>
      </c>
      <c r="C21" s="173" t="s">
        <v>493</v>
      </c>
      <c r="D21" s="263">
        <v>8390000000</v>
      </c>
      <c r="E21" s="173">
        <v>2015</v>
      </c>
      <c r="F21" s="263">
        <f t="shared" si="1"/>
        <v>2097500000</v>
      </c>
      <c r="G21" s="264">
        <f t="shared" si="0"/>
        <v>4195000000</v>
      </c>
      <c r="H21" s="264">
        <v>-0.5</v>
      </c>
      <c r="I21" s="171" t="s">
        <v>989</v>
      </c>
      <c r="J21" s="264">
        <f>(Table4[[#This Row],[Green target threshold]]-Table4[[#This Row],[FeliX global average projection]])*0.5+Table4[[#This Row],[FeliX global average projection]]</f>
        <v>6292500000</v>
      </c>
      <c r="K21" s="171">
        <v>8390000000</v>
      </c>
      <c r="L21" s="171">
        <f t="shared" si="2"/>
        <v>12585000000</v>
      </c>
      <c r="M21" s="320" t="s">
        <v>980</v>
      </c>
    </row>
    <row r="22" spans="1:13" x14ac:dyDescent="0.25">
      <c r="A22" s="173" t="s">
        <v>617</v>
      </c>
      <c r="B22" s="271" t="s">
        <v>638</v>
      </c>
      <c r="C22" s="173" t="s">
        <v>636</v>
      </c>
      <c r="D22" s="173">
        <v>1.22603</v>
      </c>
      <c r="E22" s="173">
        <v>2015</v>
      </c>
      <c r="F22" s="263">
        <f t="shared" si="1"/>
        <v>0.30650749999999999</v>
      </c>
      <c r="G22" s="264">
        <f t="shared" si="0"/>
        <v>0.61301499999999998</v>
      </c>
      <c r="H22" s="264">
        <v>-0.5</v>
      </c>
      <c r="I22" s="171" t="s">
        <v>989</v>
      </c>
      <c r="J22" s="264">
        <f>(Table4[[#This Row],[Green target threshold]]-Table4[[#This Row],[FeliX global average projection]])*0.5+Table4[[#This Row],[FeliX global average projection]]</f>
        <v>0.91952250000000002</v>
      </c>
      <c r="K22" s="171">
        <v>1.22603</v>
      </c>
      <c r="L22" s="171">
        <f t="shared" si="2"/>
        <v>1.839045</v>
      </c>
      <c r="M22" s="320" t="s">
        <v>980</v>
      </c>
    </row>
    <row r="23" spans="1:13" ht="30" x14ac:dyDescent="0.25">
      <c r="A23" s="173" t="s">
        <v>642</v>
      </c>
      <c r="B23" s="271" t="s">
        <v>647</v>
      </c>
      <c r="C23" s="173" t="s">
        <v>645</v>
      </c>
      <c r="D23" s="173">
        <v>4.4921699999999998</v>
      </c>
      <c r="E23" s="173">
        <v>2015</v>
      </c>
      <c r="F23" s="263">
        <f t="shared" si="1"/>
        <v>1.1230424999999999</v>
      </c>
      <c r="G23" s="264">
        <f t="shared" si="0"/>
        <v>2.2460849999999999</v>
      </c>
      <c r="H23" s="264">
        <v>-0.5</v>
      </c>
      <c r="I23" s="171" t="s">
        <v>989</v>
      </c>
      <c r="J23" s="264">
        <f>(Table4[[#This Row],[Green target threshold]]-Table4[[#This Row],[FeliX global average projection]])*0.5+Table4[[#This Row],[FeliX global average projection]]</f>
        <v>3.3691274999999998</v>
      </c>
      <c r="K23" s="171">
        <v>4.4921699999999998</v>
      </c>
      <c r="L23" s="171">
        <f t="shared" si="2"/>
        <v>6.7382549999999997</v>
      </c>
      <c r="M23" s="320" t="s">
        <v>980</v>
      </c>
    </row>
    <row r="24" spans="1:13" x14ac:dyDescent="0.25">
      <c r="A24" s="173" t="s">
        <v>618</v>
      </c>
      <c r="B24" s="271" t="s">
        <v>632</v>
      </c>
      <c r="C24" s="173" t="s">
        <v>493</v>
      </c>
      <c r="D24" s="263">
        <v>697000000</v>
      </c>
      <c r="E24" s="173">
        <v>2015</v>
      </c>
      <c r="F24" s="263">
        <f t="shared" si="1"/>
        <v>174250000</v>
      </c>
      <c r="G24" s="264">
        <f t="shared" si="0"/>
        <v>348500000</v>
      </c>
      <c r="H24" s="264">
        <v>-0.5</v>
      </c>
      <c r="I24" s="171" t="s">
        <v>989</v>
      </c>
      <c r="J24" s="264">
        <f>(Table4[[#This Row],[Green target threshold]]-Table4[[#This Row],[FeliX global average projection]])*0.5+Table4[[#This Row],[FeliX global average projection]]</f>
        <v>522750000</v>
      </c>
      <c r="K24" s="171">
        <v>697000000</v>
      </c>
      <c r="L24" s="171">
        <f t="shared" si="2"/>
        <v>1045500000</v>
      </c>
      <c r="M24" s="320" t="s">
        <v>980</v>
      </c>
    </row>
    <row r="25" spans="1:13" x14ac:dyDescent="0.25">
      <c r="A25" s="173" t="s">
        <v>620</v>
      </c>
      <c r="B25" s="271" t="s">
        <v>639</v>
      </c>
      <c r="C25" s="173" t="s">
        <v>636</v>
      </c>
      <c r="D25" s="173">
        <v>0.101927</v>
      </c>
      <c r="E25" s="173">
        <v>2015</v>
      </c>
      <c r="F25" s="263">
        <f t="shared" si="1"/>
        <v>2.5481750000000001E-2</v>
      </c>
      <c r="G25" s="264">
        <f t="shared" si="0"/>
        <v>5.0963500000000002E-2</v>
      </c>
      <c r="H25" s="264">
        <v>-0.5</v>
      </c>
      <c r="I25" s="171" t="s">
        <v>989</v>
      </c>
      <c r="J25" s="264">
        <f>(Table4[[#This Row],[Green target threshold]]-Table4[[#This Row],[FeliX global average projection]])*0.5+Table4[[#This Row],[FeliX global average projection]]</f>
        <v>7.6445250000000006E-2</v>
      </c>
      <c r="K25" s="171">
        <v>0.101927</v>
      </c>
      <c r="L25" s="171">
        <f t="shared" si="2"/>
        <v>0.15289050000000001</v>
      </c>
      <c r="M25" s="320" t="s">
        <v>980</v>
      </c>
    </row>
    <row r="26" spans="1:13" ht="30" x14ac:dyDescent="0.25">
      <c r="A26" s="173" t="s">
        <v>643</v>
      </c>
      <c r="B26" s="271" t="s">
        <v>648</v>
      </c>
      <c r="C26" s="173" t="s">
        <v>645</v>
      </c>
      <c r="D26" s="173">
        <v>0.37346099999999999</v>
      </c>
      <c r="E26" s="173">
        <v>2015</v>
      </c>
      <c r="F26" s="263">
        <f t="shared" si="1"/>
        <v>9.3365249999999997E-2</v>
      </c>
      <c r="G26" s="264">
        <f t="shared" si="0"/>
        <v>0.18673049999999999</v>
      </c>
      <c r="H26" s="264">
        <v>-0.5</v>
      </c>
      <c r="I26" s="171" t="s">
        <v>989</v>
      </c>
      <c r="J26" s="264">
        <f>(Table4[[#This Row],[Green target threshold]]-Table4[[#This Row],[FeliX global average projection]])*0.5+Table4[[#This Row],[FeliX global average projection]]</f>
        <v>0.28009574999999998</v>
      </c>
      <c r="K26" s="171">
        <v>0.37346099999999999</v>
      </c>
      <c r="L26" s="171">
        <f t="shared" si="2"/>
        <v>0.56019149999999995</v>
      </c>
      <c r="M26" s="320" t="s">
        <v>980</v>
      </c>
    </row>
    <row r="27" spans="1:13" x14ac:dyDescent="0.25">
      <c r="A27" s="173" t="s">
        <v>880</v>
      </c>
      <c r="B27" s="271" t="s">
        <v>902</v>
      </c>
      <c r="C27" s="173" t="s">
        <v>473</v>
      </c>
      <c r="D27" s="197">
        <v>11.908300000000001</v>
      </c>
      <c r="E27" s="173">
        <v>2015</v>
      </c>
      <c r="F27" s="173">
        <v>0</v>
      </c>
      <c r="G27" s="264">
        <f t="shared" si="0"/>
        <v>11.908300000000001</v>
      </c>
      <c r="H27" s="171"/>
      <c r="I27" s="171" t="s">
        <v>982</v>
      </c>
      <c r="J27" s="264">
        <f>(Table4[[#This Row],[Green target threshold]]-Table4[[#This Row],[FeliX global average projection]])*0.5+Table4[[#This Row],[FeliX global average projection]]</f>
        <v>11.908300000000001</v>
      </c>
      <c r="K27" s="171">
        <v>11.908300000000001</v>
      </c>
      <c r="L27" s="171">
        <v>100</v>
      </c>
      <c r="M27" s="320" t="s">
        <v>994</v>
      </c>
    </row>
    <row r="28" spans="1:13" x14ac:dyDescent="0.25">
      <c r="A28" s="173" t="s">
        <v>878</v>
      </c>
      <c r="B28" s="271" t="s">
        <v>877</v>
      </c>
      <c r="C28" s="173" t="s">
        <v>473</v>
      </c>
      <c r="D28" s="197">
        <v>1.1321699999999999</v>
      </c>
      <c r="E28" s="173">
        <v>2015</v>
      </c>
      <c r="F28" s="173">
        <v>0</v>
      </c>
      <c r="G28" s="264">
        <f t="shared" si="0"/>
        <v>0.56608499999999995</v>
      </c>
      <c r="H28" s="264">
        <v>-0.5</v>
      </c>
      <c r="I28" s="171" t="s">
        <v>989</v>
      </c>
      <c r="J28" s="264">
        <f>(Table4[[#This Row],[Green target threshold]]-Table4[[#This Row],[FeliX global average projection]])*0.5+Table4[[#This Row],[FeliX global average projection]]</f>
        <v>0.84912749999999992</v>
      </c>
      <c r="K28" s="171">
        <v>1.1321699999999999</v>
      </c>
      <c r="L28" s="171">
        <f>K28+K28*0.5</f>
        <v>1.6982549999999998</v>
      </c>
      <c r="M28" s="320" t="s">
        <v>992</v>
      </c>
    </row>
    <row r="29" spans="1:13" x14ac:dyDescent="0.25">
      <c r="A29" s="173" t="s">
        <v>888</v>
      </c>
      <c r="B29" s="284" t="s">
        <v>1054</v>
      </c>
      <c r="C29" s="174" t="s">
        <v>886</v>
      </c>
      <c r="D29" s="321">
        <v>313000000000</v>
      </c>
      <c r="E29" s="174">
        <v>2015</v>
      </c>
      <c r="F29" s="322">
        <f>G29-G29*0.5</f>
        <v>78250000000</v>
      </c>
      <c r="G29" s="323">
        <f t="shared" si="0"/>
        <v>156500000000</v>
      </c>
      <c r="H29" s="323">
        <v>-0.5</v>
      </c>
      <c r="I29" s="324" t="s">
        <v>989</v>
      </c>
      <c r="J29" s="323">
        <f>(Table4[[#This Row],[Green target threshold]]-Table4[[#This Row],[FeliX global average projection]])*0.5+Table4[[#This Row],[FeliX global average projection]]</f>
        <v>234750000000</v>
      </c>
      <c r="K29" s="324">
        <v>-313000000000</v>
      </c>
      <c r="L29" s="324">
        <f>K29+K29*0.5</f>
        <v>-469500000000</v>
      </c>
      <c r="M29" s="316" t="s">
        <v>993</v>
      </c>
    </row>
    <row r="30" spans="1:13" s="175" customFormat="1" x14ac:dyDescent="0.25"/>
    <row r="31" spans="1:13" s="175" customFormat="1" x14ac:dyDescent="0.25"/>
    <row r="32" spans="1:13" s="175" customFormat="1" x14ac:dyDescent="0.25"/>
    <row r="33" s="175" customFormat="1" x14ac:dyDescent="0.25"/>
    <row r="34" s="175" customFormat="1" x14ac:dyDescent="0.25"/>
    <row r="35" s="175" customFormat="1" x14ac:dyDescent="0.25"/>
    <row r="36" s="175" customFormat="1" x14ac:dyDescent="0.25"/>
    <row r="37" s="175" customFormat="1" x14ac:dyDescent="0.25"/>
    <row r="38" s="175" customFormat="1" x14ac:dyDescent="0.25"/>
    <row r="39" s="175" customFormat="1" x14ac:dyDescent="0.25"/>
    <row r="40" s="175" customFormat="1" x14ac:dyDescent="0.25"/>
    <row r="41" s="175" customFormat="1" x14ac:dyDescent="0.25"/>
    <row r="42" s="175" customFormat="1" x14ac:dyDescent="0.25"/>
    <row r="43" s="175" customFormat="1" x14ac:dyDescent="0.25"/>
    <row r="44" s="175" customFormat="1" x14ac:dyDescent="0.25"/>
    <row r="45" s="175" customFormat="1" x14ac:dyDescent="0.25"/>
    <row r="46" s="175" customFormat="1" x14ac:dyDescent="0.25"/>
    <row r="47" s="175" customFormat="1" x14ac:dyDescent="0.25"/>
    <row r="48" s="175" customFormat="1" x14ac:dyDescent="0.25"/>
    <row r="49" s="175" customFormat="1" x14ac:dyDescent="0.25"/>
    <row r="50" s="175" customFormat="1" x14ac:dyDescent="0.25"/>
    <row r="51" s="175" customFormat="1" x14ac:dyDescent="0.25"/>
    <row r="52" s="175" customFormat="1" x14ac:dyDescent="0.25"/>
    <row r="53" s="175" customFormat="1" x14ac:dyDescent="0.25"/>
    <row r="54" s="175" customFormat="1" x14ac:dyDescent="0.25"/>
    <row r="55" s="175" customFormat="1" x14ac:dyDescent="0.25"/>
    <row r="56" s="175" customFormat="1" x14ac:dyDescent="0.25"/>
    <row r="57" s="175" customFormat="1" x14ac:dyDescent="0.25"/>
    <row r="58" s="175" customFormat="1" x14ac:dyDescent="0.25"/>
    <row r="59" s="175" customFormat="1" x14ac:dyDescent="0.25"/>
    <row r="60" s="175" customFormat="1" x14ac:dyDescent="0.25"/>
    <row r="61" s="175" customFormat="1" x14ac:dyDescent="0.25"/>
    <row r="62" s="175" customFormat="1" x14ac:dyDescent="0.25"/>
    <row r="63" s="175" customFormat="1" x14ac:dyDescent="0.25"/>
    <row r="64" s="175" customFormat="1" x14ac:dyDescent="0.25"/>
    <row r="65" s="175" customFormat="1" x14ac:dyDescent="0.25"/>
    <row r="66" s="175" customFormat="1" x14ac:dyDescent="0.25"/>
    <row r="67" s="175" customFormat="1" x14ac:dyDescent="0.25"/>
    <row r="68" s="175" customFormat="1" x14ac:dyDescent="0.25"/>
    <row r="69" s="175" customFormat="1" x14ac:dyDescent="0.25"/>
    <row r="70" s="175" customFormat="1" x14ac:dyDescent="0.25"/>
    <row r="71" s="175" customFormat="1" x14ac:dyDescent="0.25"/>
    <row r="72" s="175" customFormat="1" x14ac:dyDescent="0.25"/>
    <row r="73" s="175" customFormat="1" x14ac:dyDescent="0.25"/>
    <row r="74" s="175" customFormat="1" x14ac:dyDescent="0.25"/>
    <row r="75" s="175" customFormat="1" x14ac:dyDescent="0.25"/>
    <row r="76" s="175" customFormat="1" x14ac:dyDescent="0.25"/>
    <row r="77" s="175" customFormat="1" x14ac:dyDescent="0.25"/>
    <row r="78" s="175" customFormat="1" x14ac:dyDescent="0.25"/>
    <row r="79" s="175" customFormat="1" x14ac:dyDescent="0.25"/>
    <row r="80" s="175" customFormat="1" x14ac:dyDescent="0.25"/>
    <row r="81" s="175" customFormat="1" x14ac:dyDescent="0.25"/>
    <row r="82" s="175" customFormat="1" x14ac:dyDescent="0.25"/>
    <row r="83" s="175" customFormat="1" x14ac:dyDescent="0.25"/>
    <row r="84" s="175" customFormat="1" x14ac:dyDescent="0.25"/>
    <row r="85" s="175" customFormat="1" x14ac:dyDescent="0.25"/>
    <row r="86" s="175" customFormat="1" x14ac:dyDescent="0.25"/>
    <row r="87" s="175" customFormat="1" x14ac:dyDescent="0.25"/>
    <row r="88" s="175" customFormat="1" x14ac:dyDescent="0.25"/>
    <row r="89" s="175" customFormat="1" x14ac:dyDescent="0.25"/>
    <row r="90" s="175" customFormat="1" x14ac:dyDescent="0.25"/>
    <row r="91" s="175" customFormat="1" x14ac:dyDescent="0.25"/>
    <row r="92" s="175" customFormat="1" x14ac:dyDescent="0.25"/>
    <row r="93" s="175" customFormat="1" x14ac:dyDescent="0.25"/>
    <row r="94" s="175" customFormat="1" x14ac:dyDescent="0.25"/>
    <row r="95" s="175" customFormat="1" x14ac:dyDescent="0.25"/>
    <row r="96" s="175" customFormat="1" x14ac:dyDescent="0.25"/>
    <row r="97" s="175" customFormat="1" x14ac:dyDescent="0.25"/>
    <row r="98" s="175" customFormat="1" x14ac:dyDescent="0.25"/>
    <row r="99" s="175" customFormat="1" x14ac:dyDescent="0.25"/>
    <row r="100" s="175" customFormat="1" x14ac:dyDescent="0.25"/>
    <row r="101" s="175" customFormat="1" x14ac:dyDescent="0.25"/>
    <row r="102" s="175" customFormat="1" x14ac:dyDescent="0.25"/>
    <row r="103" s="175" customFormat="1" x14ac:dyDescent="0.25"/>
    <row r="104" s="175" customFormat="1" x14ac:dyDescent="0.25"/>
    <row r="105" s="175" customFormat="1" x14ac:dyDescent="0.25"/>
    <row r="106" s="175" customFormat="1" x14ac:dyDescent="0.25"/>
    <row r="107" s="175" customFormat="1" x14ac:dyDescent="0.25"/>
    <row r="108" s="175" customFormat="1" x14ac:dyDescent="0.25"/>
    <row r="109" s="175" customFormat="1" x14ac:dyDescent="0.25"/>
    <row r="110" s="175" customFormat="1" x14ac:dyDescent="0.25"/>
    <row r="111" s="175" customFormat="1" x14ac:dyDescent="0.25"/>
    <row r="112" s="175" customFormat="1" x14ac:dyDescent="0.25"/>
    <row r="113" s="175" customFormat="1" x14ac:dyDescent="0.25"/>
    <row r="114" s="175" customFormat="1" x14ac:dyDescent="0.25"/>
    <row r="115" s="175" customFormat="1" x14ac:dyDescent="0.25"/>
    <row r="116" s="175" customFormat="1" x14ac:dyDescent="0.25"/>
    <row r="117" s="175" customFormat="1" x14ac:dyDescent="0.25"/>
    <row r="118" s="175" customFormat="1" x14ac:dyDescent="0.25"/>
    <row r="119" s="175" customFormat="1" x14ac:dyDescent="0.25"/>
    <row r="120" s="175" customFormat="1" x14ac:dyDescent="0.25"/>
    <row r="121" s="175" customFormat="1" x14ac:dyDescent="0.25"/>
    <row r="122" s="175" customFormat="1" x14ac:dyDescent="0.25"/>
    <row r="123" s="175" customFormat="1" x14ac:dyDescent="0.25"/>
    <row r="124" s="175" customFormat="1" x14ac:dyDescent="0.25"/>
    <row r="125" s="175" customFormat="1" x14ac:dyDescent="0.25"/>
    <row r="126" s="175" customFormat="1" x14ac:dyDescent="0.25"/>
    <row r="127" s="175" customFormat="1" x14ac:dyDescent="0.25"/>
    <row r="128" s="175" customFormat="1" x14ac:dyDescent="0.25"/>
    <row r="129" s="175" customFormat="1" x14ac:dyDescent="0.25"/>
    <row r="130" s="175" customFormat="1" x14ac:dyDescent="0.25"/>
    <row r="131" s="175" customFormat="1" x14ac:dyDescent="0.25"/>
    <row r="132" s="175" customFormat="1" x14ac:dyDescent="0.25"/>
    <row r="133" s="175" customFormat="1" x14ac:dyDescent="0.25"/>
    <row r="134" s="175" customFormat="1" x14ac:dyDescent="0.25"/>
    <row r="135" s="175" customFormat="1" x14ac:dyDescent="0.25"/>
    <row r="136" s="175" customFormat="1" x14ac:dyDescent="0.25"/>
    <row r="137" s="175" customFormat="1" x14ac:dyDescent="0.25"/>
    <row r="138" s="175" customFormat="1" x14ac:dyDescent="0.25"/>
    <row r="139" s="175" customFormat="1" x14ac:dyDescent="0.25"/>
    <row r="140" s="175" customFormat="1" x14ac:dyDescent="0.25"/>
    <row r="141" s="175" customFormat="1" x14ac:dyDescent="0.25"/>
    <row r="142" s="175" customFormat="1" x14ac:dyDescent="0.25"/>
    <row r="143" s="175" customFormat="1" x14ac:dyDescent="0.25"/>
    <row r="144" s="175" customFormat="1" x14ac:dyDescent="0.25"/>
    <row r="145" s="175" customFormat="1" x14ac:dyDescent="0.25"/>
    <row r="146" s="175" customFormat="1" x14ac:dyDescent="0.25"/>
    <row r="147" s="175" customFormat="1" x14ac:dyDescent="0.25"/>
    <row r="148" s="175" customFormat="1" x14ac:dyDescent="0.25"/>
    <row r="149" s="175" customFormat="1" x14ac:dyDescent="0.25"/>
    <row r="150" s="175" customFormat="1" x14ac:dyDescent="0.25"/>
    <row r="151" s="175" customFormat="1" x14ac:dyDescent="0.25"/>
    <row r="152" s="175" customFormat="1" x14ac:dyDescent="0.25"/>
    <row r="153" s="175" customFormat="1" x14ac:dyDescent="0.25"/>
    <row r="154" s="175" customFormat="1" x14ac:dyDescent="0.25"/>
    <row r="155" s="175" customFormat="1" x14ac:dyDescent="0.25"/>
    <row r="156" s="175" customFormat="1" x14ac:dyDescent="0.25"/>
    <row r="157" s="175" customFormat="1" x14ac:dyDescent="0.25"/>
    <row r="158" s="175" customFormat="1" x14ac:dyDescent="0.25"/>
    <row r="159" s="175" customFormat="1" x14ac:dyDescent="0.25"/>
    <row r="160" s="175" customFormat="1" x14ac:dyDescent="0.25"/>
    <row r="161" s="175" customFormat="1" x14ac:dyDescent="0.25"/>
    <row r="162" s="175" customFormat="1" x14ac:dyDescent="0.25"/>
    <row r="163" s="175" customFormat="1" x14ac:dyDescent="0.25"/>
    <row r="164" s="175" customFormat="1" x14ac:dyDescent="0.25"/>
    <row r="165" s="175" customFormat="1" x14ac:dyDescent="0.25"/>
    <row r="166" s="175" customFormat="1" x14ac:dyDescent="0.25"/>
    <row r="167" s="175" customFormat="1" x14ac:dyDescent="0.25"/>
    <row r="168" s="175" customFormat="1" x14ac:dyDescent="0.25"/>
    <row r="169" s="175" customFormat="1" x14ac:dyDescent="0.25"/>
    <row r="170" s="175" customFormat="1" x14ac:dyDescent="0.25"/>
    <row r="171" s="175" customFormat="1" x14ac:dyDescent="0.25"/>
    <row r="172" s="175" customFormat="1" x14ac:dyDescent="0.25"/>
    <row r="173" s="175" customFormat="1" x14ac:dyDescent="0.25"/>
    <row r="174" s="175" customFormat="1" x14ac:dyDescent="0.25"/>
    <row r="175" s="175" customFormat="1" x14ac:dyDescent="0.25"/>
    <row r="176" s="175" customFormat="1" x14ac:dyDescent="0.25"/>
    <row r="177" s="175" customFormat="1" x14ac:dyDescent="0.25"/>
    <row r="178" s="175" customFormat="1" x14ac:dyDescent="0.25"/>
    <row r="179" s="175" customFormat="1" x14ac:dyDescent="0.25"/>
    <row r="180" s="175" customFormat="1" x14ac:dyDescent="0.25"/>
    <row r="181" s="175" customFormat="1" x14ac:dyDescent="0.25"/>
    <row r="182" s="175" customFormat="1" x14ac:dyDescent="0.25"/>
    <row r="183" s="175" customFormat="1" x14ac:dyDescent="0.25"/>
    <row r="184" s="175" customFormat="1" x14ac:dyDescent="0.25"/>
    <row r="185" s="175" customFormat="1" x14ac:dyDescent="0.25"/>
    <row r="186" s="175" customFormat="1" x14ac:dyDescent="0.25"/>
    <row r="187" s="175" customFormat="1" x14ac:dyDescent="0.25"/>
    <row r="188" s="175" customFormat="1" x14ac:dyDescent="0.25"/>
    <row r="189" s="175" customFormat="1" x14ac:dyDescent="0.25"/>
    <row r="190" s="175" customFormat="1" x14ac:dyDescent="0.25"/>
    <row r="191" s="175" customFormat="1" x14ac:dyDescent="0.25"/>
    <row r="192" s="175" customFormat="1" x14ac:dyDescent="0.25"/>
    <row r="193" s="175" customFormat="1" x14ac:dyDescent="0.25"/>
    <row r="194" s="175" customFormat="1" x14ac:dyDescent="0.25"/>
    <row r="195" s="175" customFormat="1" x14ac:dyDescent="0.25"/>
    <row r="196" s="175" customFormat="1" x14ac:dyDescent="0.25"/>
    <row r="197" s="175" customFormat="1" x14ac:dyDescent="0.25"/>
    <row r="198" s="175" customFormat="1" x14ac:dyDescent="0.25"/>
    <row r="199" s="175" customFormat="1" x14ac:dyDescent="0.25"/>
    <row r="200" s="175" customFormat="1" x14ac:dyDescent="0.25"/>
    <row r="201" s="175" customFormat="1" x14ac:dyDescent="0.25"/>
    <row r="202" s="175" customFormat="1" x14ac:dyDescent="0.25"/>
    <row r="203" s="175" customFormat="1" x14ac:dyDescent="0.25"/>
    <row r="204" s="175" customFormat="1" x14ac:dyDescent="0.25"/>
  </sheetData>
  <pageMargins left="0.7" right="0.7" top="0.75" bottom="0.75" header="0.3" footer="0.3"/>
  <pageSetup paperSize="9" orientation="portrait" horizontalDpi="1200" verticalDpi="1200"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zoomScale="90" zoomScaleNormal="90" workbookViewId="0">
      <selection activeCell="J42" sqref="J42"/>
    </sheetView>
  </sheetViews>
  <sheetFormatPr defaultColWidth="9" defaultRowHeight="15" x14ac:dyDescent="0.25"/>
  <cols>
    <col min="1" max="1" width="15.42578125" style="355" customWidth="1"/>
    <col min="2" max="2" width="24.5703125" style="355" customWidth="1"/>
    <col min="3" max="3" width="39.7109375" style="355" hidden="1" customWidth="1"/>
    <col min="4" max="4" width="8.140625" style="355" hidden="1" customWidth="1"/>
    <col min="5" max="5" width="14.28515625" style="358" customWidth="1"/>
    <col min="6" max="6" width="5.5703125" style="355" customWidth="1"/>
    <col min="7" max="7" width="19.7109375" style="355" customWidth="1"/>
    <col min="8" max="16384" width="9" style="355"/>
  </cols>
  <sheetData>
    <row r="1" spans="1:7" x14ac:dyDescent="0.25">
      <c r="A1" s="485" t="s">
        <v>466</v>
      </c>
      <c r="B1" s="485" t="s">
        <v>513</v>
      </c>
      <c r="C1" s="485" t="s">
        <v>467</v>
      </c>
      <c r="D1" s="485" t="s">
        <v>526</v>
      </c>
      <c r="E1" s="470" t="s">
        <v>468</v>
      </c>
      <c r="F1" s="485" t="s">
        <v>408</v>
      </c>
      <c r="G1" s="485" t="s">
        <v>998</v>
      </c>
    </row>
    <row r="2" spans="1:7" ht="24" x14ac:dyDescent="0.25">
      <c r="A2" s="485" t="s">
        <v>1248</v>
      </c>
      <c r="B2" s="485"/>
      <c r="C2" s="485"/>
      <c r="D2" s="485"/>
      <c r="E2" s="470"/>
      <c r="F2" s="485"/>
      <c r="G2" s="485"/>
    </row>
    <row r="3" spans="1:7" ht="96" x14ac:dyDescent="0.25">
      <c r="A3" s="692" t="s">
        <v>469</v>
      </c>
      <c r="B3" s="692" t="s">
        <v>470</v>
      </c>
      <c r="C3" s="692" t="s">
        <v>913</v>
      </c>
      <c r="D3" s="479" t="s">
        <v>529</v>
      </c>
      <c r="E3" s="480" t="s">
        <v>510</v>
      </c>
      <c r="F3" s="479" t="s">
        <v>473</v>
      </c>
      <c r="G3" s="479" t="s">
        <v>540</v>
      </c>
    </row>
    <row r="4" spans="1:7" ht="84" x14ac:dyDescent="0.25">
      <c r="A4" s="692"/>
      <c r="B4" s="692"/>
      <c r="C4" s="692"/>
      <c r="D4" s="479" t="s">
        <v>530</v>
      </c>
      <c r="E4" s="481" t="s">
        <v>531</v>
      </c>
      <c r="F4" s="479" t="s">
        <v>532</v>
      </c>
      <c r="G4" s="479" t="s">
        <v>541</v>
      </c>
    </row>
    <row r="5" spans="1:7" ht="48.75" x14ac:dyDescent="0.25">
      <c r="A5" s="692"/>
      <c r="B5" s="692"/>
      <c r="C5" s="692"/>
      <c r="D5" s="482" t="s">
        <v>533</v>
      </c>
      <c r="E5" s="481" t="s">
        <v>471</v>
      </c>
      <c r="F5" s="479" t="s">
        <v>472</v>
      </c>
      <c r="G5" s="483" t="s">
        <v>544</v>
      </c>
    </row>
    <row r="6" spans="1:7" ht="48" x14ac:dyDescent="0.25">
      <c r="A6" s="692"/>
      <c r="B6" s="692"/>
      <c r="C6" s="484" t="s">
        <v>1000</v>
      </c>
      <c r="D6" s="479" t="s">
        <v>543</v>
      </c>
      <c r="E6" s="481" t="s">
        <v>507</v>
      </c>
      <c r="F6" s="479" t="s">
        <v>473</v>
      </c>
      <c r="G6" s="479" t="s">
        <v>542</v>
      </c>
    </row>
    <row r="7" spans="1:7" ht="144" x14ac:dyDescent="0.25">
      <c r="A7" s="692"/>
      <c r="B7" s="479" t="s">
        <v>474</v>
      </c>
      <c r="C7" s="484" t="s">
        <v>1050</v>
      </c>
      <c r="D7" s="479" t="s">
        <v>537</v>
      </c>
      <c r="E7" s="480" t="s">
        <v>30</v>
      </c>
      <c r="F7" s="479" t="s">
        <v>971</v>
      </c>
      <c r="G7" s="479" t="s">
        <v>943</v>
      </c>
    </row>
    <row r="8" spans="1:7" ht="24" x14ac:dyDescent="0.25">
      <c r="A8" s="495" t="s">
        <v>1249</v>
      </c>
      <c r="B8" s="487"/>
      <c r="C8" s="487"/>
      <c r="D8" s="487"/>
      <c r="E8" s="487"/>
      <c r="F8" s="487"/>
      <c r="G8" s="487"/>
    </row>
    <row r="9" spans="1:7" ht="60" x14ac:dyDescent="0.25">
      <c r="A9" s="692" t="s">
        <v>512</v>
      </c>
      <c r="B9" s="692" t="s">
        <v>519</v>
      </c>
      <c r="C9" s="692" t="s">
        <v>951</v>
      </c>
      <c r="D9" s="479" t="s">
        <v>948</v>
      </c>
      <c r="E9" s="480" t="s">
        <v>148</v>
      </c>
      <c r="F9" s="479" t="s">
        <v>973</v>
      </c>
      <c r="G9" s="479" t="s">
        <v>1005</v>
      </c>
    </row>
    <row r="10" spans="1:7" ht="60" x14ac:dyDescent="0.25">
      <c r="A10" s="692"/>
      <c r="B10" s="692"/>
      <c r="C10" s="692"/>
      <c r="D10" s="479" t="s">
        <v>949</v>
      </c>
      <c r="E10" s="480" t="s">
        <v>149</v>
      </c>
      <c r="F10" s="479" t="s">
        <v>973</v>
      </c>
      <c r="G10" s="479" t="s">
        <v>1006</v>
      </c>
    </row>
    <row r="11" spans="1:7" ht="60" x14ac:dyDescent="0.25">
      <c r="A11" s="692"/>
      <c r="B11" s="479" t="s">
        <v>520</v>
      </c>
      <c r="C11" s="484" t="s">
        <v>1007</v>
      </c>
      <c r="D11" s="479" t="s">
        <v>950</v>
      </c>
      <c r="E11" s="480" t="s">
        <v>150</v>
      </c>
      <c r="F11" s="479" t="s">
        <v>973</v>
      </c>
      <c r="G11" s="479" t="s">
        <v>1008</v>
      </c>
    </row>
    <row r="12" spans="1:7" x14ac:dyDescent="0.25">
      <c r="A12" s="694" t="s">
        <v>1417</v>
      </c>
      <c r="B12" s="694"/>
      <c r="C12" s="487"/>
      <c r="D12" s="489"/>
      <c r="E12" s="471"/>
      <c r="F12" s="489"/>
      <c r="G12" s="489"/>
    </row>
    <row r="13" spans="1:7" ht="60" x14ac:dyDescent="0.25">
      <c r="A13" s="484" t="s">
        <v>475</v>
      </c>
      <c r="B13" s="479" t="s">
        <v>476</v>
      </c>
      <c r="C13" s="484" t="s">
        <v>477</v>
      </c>
      <c r="D13" s="479" t="s">
        <v>569</v>
      </c>
      <c r="E13" s="480" t="s">
        <v>478</v>
      </c>
      <c r="F13" s="479" t="s">
        <v>473</v>
      </c>
      <c r="G13" s="479" t="s">
        <v>570</v>
      </c>
    </row>
    <row r="14" spans="1:7" x14ac:dyDescent="0.25">
      <c r="A14" s="694" t="s">
        <v>1419</v>
      </c>
      <c r="B14" s="695"/>
      <c r="C14" s="487"/>
      <c r="D14" s="489"/>
      <c r="E14" s="471"/>
      <c r="F14" s="489"/>
      <c r="G14" s="489"/>
    </row>
    <row r="15" spans="1:7" ht="84" x14ac:dyDescent="0.25">
      <c r="A15" s="691" t="s">
        <v>521</v>
      </c>
      <c r="B15" s="479" t="s">
        <v>523</v>
      </c>
      <c r="C15" s="496"/>
      <c r="D15" s="493"/>
      <c r="E15" s="480" t="s">
        <v>1123</v>
      </c>
      <c r="F15" s="493" t="s">
        <v>1053</v>
      </c>
      <c r="G15" s="479" t="s">
        <v>577</v>
      </c>
    </row>
    <row r="16" spans="1:7" ht="132" x14ac:dyDescent="0.25">
      <c r="A16" s="692"/>
      <c r="B16" s="484" t="s">
        <v>525</v>
      </c>
      <c r="C16" s="496"/>
      <c r="D16" s="493"/>
      <c r="E16" s="480" t="s">
        <v>500</v>
      </c>
      <c r="F16" s="479" t="s">
        <v>583</v>
      </c>
      <c r="G16" s="479" t="s">
        <v>1092</v>
      </c>
    </row>
    <row r="17" spans="1:7" ht="72" x14ac:dyDescent="0.25">
      <c r="A17" s="693"/>
      <c r="B17" s="479" t="s">
        <v>524</v>
      </c>
      <c r="C17" s="479" t="s">
        <v>584</v>
      </c>
      <c r="D17" s="479" t="s">
        <v>580</v>
      </c>
      <c r="E17" s="480" t="s">
        <v>581</v>
      </c>
      <c r="F17" s="479" t="s">
        <v>191</v>
      </c>
      <c r="G17" s="479" t="s">
        <v>1010</v>
      </c>
    </row>
    <row r="18" spans="1:7" ht="24" x14ac:dyDescent="0.25">
      <c r="A18" s="485" t="s">
        <v>1272</v>
      </c>
      <c r="B18" s="489"/>
      <c r="C18" s="489"/>
      <c r="D18" s="489"/>
      <c r="E18" s="471"/>
      <c r="F18" s="489"/>
      <c r="G18" s="489"/>
    </row>
    <row r="19" spans="1:7" ht="36" x14ac:dyDescent="0.25">
      <c r="A19" s="692" t="s">
        <v>487</v>
      </c>
      <c r="B19" s="692" t="s">
        <v>488</v>
      </c>
      <c r="C19" s="692" t="s">
        <v>1011</v>
      </c>
      <c r="D19" s="479" t="s">
        <v>585</v>
      </c>
      <c r="E19" s="480" t="s">
        <v>1012</v>
      </c>
      <c r="F19" s="479" t="s">
        <v>591</v>
      </c>
      <c r="G19" s="479" t="s">
        <v>592</v>
      </c>
    </row>
    <row r="20" spans="1:7" ht="120" x14ac:dyDescent="0.25">
      <c r="A20" s="692"/>
      <c r="B20" s="692"/>
      <c r="C20" s="692"/>
      <c r="D20" s="479" t="s">
        <v>586</v>
      </c>
      <c r="E20" s="480" t="s">
        <v>1013</v>
      </c>
      <c r="F20" s="479" t="s">
        <v>591</v>
      </c>
      <c r="G20" s="479" t="s">
        <v>1014</v>
      </c>
    </row>
    <row r="21" spans="1:7" ht="60" x14ac:dyDescent="0.25">
      <c r="A21" s="692"/>
      <c r="B21" s="692"/>
      <c r="C21" s="692"/>
      <c r="D21" s="479" t="s">
        <v>587</v>
      </c>
      <c r="E21" s="480" t="s">
        <v>1015</v>
      </c>
      <c r="F21" s="479" t="s">
        <v>539</v>
      </c>
      <c r="G21" s="479" t="s">
        <v>593</v>
      </c>
    </row>
    <row r="22" spans="1:7" ht="72" x14ac:dyDescent="0.25">
      <c r="A22" s="692"/>
      <c r="B22" s="692"/>
      <c r="C22" s="692"/>
      <c r="D22" s="479" t="s">
        <v>588</v>
      </c>
      <c r="E22" s="480" t="s">
        <v>1016</v>
      </c>
      <c r="F22" s="479" t="s">
        <v>591</v>
      </c>
      <c r="G22" s="479" t="s">
        <v>1017</v>
      </c>
    </row>
    <row r="23" spans="1:7" ht="96" x14ac:dyDescent="0.25">
      <c r="A23" s="692"/>
      <c r="B23" s="692"/>
      <c r="C23" s="692" t="s">
        <v>927</v>
      </c>
      <c r="D23" s="479" t="s">
        <v>599</v>
      </c>
      <c r="E23" s="481" t="s">
        <v>602</v>
      </c>
      <c r="F23" s="479" t="s">
        <v>603</v>
      </c>
      <c r="G23" s="484" t="s">
        <v>605</v>
      </c>
    </row>
    <row r="24" spans="1:7" ht="48" x14ac:dyDescent="0.25">
      <c r="A24" s="692"/>
      <c r="B24" s="692"/>
      <c r="C24" s="692"/>
      <c r="D24" s="479" t="s">
        <v>600</v>
      </c>
      <c r="E24" s="481" t="s">
        <v>604</v>
      </c>
      <c r="F24" s="479" t="s">
        <v>472</v>
      </c>
      <c r="G24" s="484" t="s">
        <v>1021</v>
      </c>
    </row>
    <row r="25" spans="1:7" ht="24" x14ac:dyDescent="0.25">
      <c r="A25" s="485" t="s">
        <v>1359</v>
      </c>
      <c r="B25" s="489"/>
      <c r="C25" s="489"/>
      <c r="D25" s="489"/>
      <c r="E25" s="492"/>
      <c r="F25" s="489"/>
      <c r="G25" s="487"/>
    </row>
    <row r="26" spans="1:7" ht="60" x14ac:dyDescent="0.25">
      <c r="A26" s="692" t="s">
        <v>489</v>
      </c>
      <c r="B26" s="692" t="s">
        <v>490</v>
      </c>
      <c r="C26" s="692" t="s">
        <v>660</v>
      </c>
      <c r="D26" s="479" t="s">
        <v>607</v>
      </c>
      <c r="E26" s="480" t="s">
        <v>1024</v>
      </c>
      <c r="F26" s="479" t="s">
        <v>473</v>
      </c>
      <c r="G26" s="479" t="s">
        <v>606</v>
      </c>
    </row>
    <row r="27" spans="1:7" ht="48" x14ac:dyDescent="0.25">
      <c r="A27" s="692"/>
      <c r="B27" s="692"/>
      <c r="C27" s="692"/>
      <c r="D27" s="479" t="s">
        <v>609</v>
      </c>
      <c r="E27" s="480" t="s">
        <v>494</v>
      </c>
      <c r="F27" s="479" t="s">
        <v>493</v>
      </c>
      <c r="G27" s="479" t="s">
        <v>1025</v>
      </c>
    </row>
    <row r="28" spans="1:7" ht="36" x14ac:dyDescent="0.25">
      <c r="A28" s="692"/>
      <c r="B28" s="692"/>
      <c r="C28" s="692"/>
      <c r="D28" s="479" t="s">
        <v>610</v>
      </c>
      <c r="E28" s="480" t="s">
        <v>495</v>
      </c>
      <c r="F28" s="479" t="s">
        <v>191</v>
      </c>
      <c r="G28" s="479" t="s">
        <v>1026</v>
      </c>
    </row>
    <row r="29" spans="1:7" ht="48" x14ac:dyDescent="0.25">
      <c r="A29" s="692"/>
      <c r="B29" s="692"/>
      <c r="C29" s="692"/>
      <c r="D29" s="479" t="s">
        <v>611</v>
      </c>
      <c r="E29" s="480" t="s">
        <v>635</v>
      </c>
      <c r="F29" s="479" t="s">
        <v>636</v>
      </c>
      <c r="G29" s="479" t="s">
        <v>649</v>
      </c>
    </row>
    <row r="30" spans="1:7" ht="36" x14ac:dyDescent="0.25">
      <c r="A30" s="692"/>
      <c r="B30" s="692"/>
      <c r="C30" s="692"/>
      <c r="D30" s="479" t="s">
        <v>612</v>
      </c>
      <c r="E30" s="480" t="s">
        <v>1109</v>
      </c>
      <c r="F30" s="479" t="s">
        <v>493</v>
      </c>
      <c r="G30" s="479" t="s">
        <v>630</v>
      </c>
    </row>
    <row r="31" spans="1:7" ht="36" x14ac:dyDescent="0.25">
      <c r="A31" s="692"/>
      <c r="B31" s="692"/>
      <c r="C31" s="692"/>
      <c r="D31" s="479" t="s">
        <v>613</v>
      </c>
      <c r="E31" s="480" t="s">
        <v>1110</v>
      </c>
      <c r="F31" s="479" t="s">
        <v>191</v>
      </c>
      <c r="G31" s="479" t="s">
        <v>625</v>
      </c>
    </row>
    <row r="32" spans="1:7" ht="48" x14ac:dyDescent="0.25">
      <c r="A32" s="692"/>
      <c r="B32" s="692"/>
      <c r="C32" s="692"/>
      <c r="D32" s="479" t="s">
        <v>614</v>
      </c>
      <c r="E32" s="480" t="s">
        <v>1111</v>
      </c>
      <c r="F32" s="479" t="s">
        <v>636</v>
      </c>
      <c r="G32" s="479" t="s">
        <v>651</v>
      </c>
    </row>
    <row r="33" spans="1:7" ht="36" x14ac:dyDescent="0.25">
      <c r="A33" s="692"/>
      <c r="B33" s="692"/>
      <c r="C33" s="692"/>
      <c r="D33" s="479" t="s">
        <v>615</v>
      </c>
      <c r="E33" s="480" t="s">
        <v>631</v>
      </c>
      <c r="F33" s="479" t="s">
        <v>493</v>
      </c>
      <c r="G33" s="479" t="s">
        <v>628</v>
      </c>
    </row>
    <row r="34" spans="1:7" ht="36" x14ac:dyDescent="0.25">
      <c r="A34" s="692"/>
      <c r="B34" s="692"/>
      <c r="C34" s="692"/>
      <c r="D34" s="479" t="s">
        <v>616</v>
      </c>
      <c r="E34" s="480" t="s">
        <v>633</v>
      </c>
      <c r="F34" s="479" t="s">
        <v>191</v>
      </c>
      <c r="G34" s="479" t="s">
        <v>626</v>
      </c>
    </row>
    <row r="35" spans="1:7" ht="48" x14ac:dyDescent="0.25">
      <c r="A35" s="692"/>
      <c r="B35" s="692"/>
      <c r="C35" s="692"/>
      <c r="D35" s="479" t="s">
        <v>617</v>
      </c>
      <c r="E35" s="480" t="s">
        <v>638</v>
      </c>
      <c r="F35" s="479" t="s">
        <v>636</v>
      </c>
      <c r="G35" s="479" t="s">
        <v>653</v>
      </c>
    </row>
    <row r="36" spans="1:7" ht="36" x14ac:dyDescent="0.25">
      <c r="A36" s="692"/>
      <c r="B36" s="692"/>
      <c r="C36" s="692"/>
      <c r="D36" s="479" t="s">
        <v>618</v>
      </c>
      <c r="E36" s="480" t="s">
        <v>632</v>
      </c>
      <c r="F36" s="479" t="s">
        <v>493</v>
      </c>
      <c r="G36" s="479" t="s">
        <v>629</v>
      </c>
    </row>
    <row r="37" spans="1:7" ht="48" x14ac:dyDescent="0.25">
      <c r="A37" s="692"/>
      <c r="B37" s="692"/>
      <c r="C37" s="692"/>
      <c r="D37" s="479" t="s">
        <v>619</v>
      </c>
      <c r="E37" s="480" t="s">
        <v>634</v>
      </c>
      <c r="F37" s="479" t="s">
        <v>191</v>
      </c>
      <c r="G37" s="479" t="s">
        <v>627</v>
      </c>
    </row>
    <row r="38" spans="1:7" ht="48" x14ac:dyDescent="0.25">
      <c r="A38" s="692"/>
      <c r="B38" s="692"/>
      <c r="C38" s="692"/>
      <c r="D38" s="479" t="s">
        <v>620</v>
      </c>
      <c r="E38" s="480" t="s">
        <v>639</v>
      </c>
      <c r="F38" s="479" t="s">
        <v>636</v>
      </c>
      <c r="G38" s="479" t="s">
        <v>655</v>
      </c>
    </row>
    <row r="39" spans="1:7" ht="60" x14ac:dyDescent="0.25">
      <c r="A39" s="692"/>
      <c r="B39" s="692"/>
      <c r="C39" s="692"/>
      <c r="D39" s="479" t="s">
        <v>643</v>
      </c>
      <c r="E39" s="480" t="s">
        <v>648</v>
      </c>
      <c r="F39" s="479" t="s">
        <v>645</v>
      </c>
      <c r="G39" s="479" t="s">
        <v>656</v>
      </c>
    </row>
    <row r="40" spans="1:7" x14ac:dyDescent="0.25">
      <c r="A40" s="694" t="s">
        <v>1273</v>
      </c>
      <c r="B40" s="694"/>
      <c r="C40" s="489"/>
      <c r="D40" s="489"/>
      <c r="E40" s="471"/>
      <c r="F40" s="489"/>
      <c r="G40" s="489"/>
    </row>
    <row r="41" spans="1:7" ht="96" x14ac:dyDescent="0.25">
      <c r="A41" s="691" t="s">
        <v>501</v>
      </c>
      <c r="B41" s="490" t="s">
        <v>502</v>
      </c>
      <c r="C41" s="490" t="s">
        <v>1030</v>
      </c>
      <c r="D41" s="486" t="s">
        <v>880</v>
      </c>
      <c r="E41" s="491" t="s">
        <v>902</v>
      </c>
      <c r="F41" s="486" t="s">
        <v>473</v>
      </c>
      <c r="G41" s="486" t="s">
        <v>903</v>
      </c>
    </row>
    <row r="42" spans="1:7" ht="84" x14ac:dyDescent="0.25">
      <c r="A42" s="696"/>
      <c r="B42" s="493" t="s">
        <v>503</v>
      </c>
      <c r="C42" s="493" t="s">
        <v>939</v>
      </c>
      <c r="D42" s="493" t="s">
        <v>878</v>
      </c>
      <c r="E42" s="469" t="s">
        <v>877</v>
      </c>
      <c r="F42" s="493" t="s">
        <v>473</v>
      </c>
      <c r="G42" s="493" t="s">
        <v>1031</v>
      </c>
    </row>
    <row r="43" spans="1:7" ht="72.75" x14ac:dyDescent="0.25">
      <c r="A43" s="693"/>
      <c r="B43" s="494" t="s">
        <v>887</v>
      </c>
      <c r="C43" s="488" t="s">
        <v>1033</v>
      </c>
      <c r="D43" s="488" t="s">
        <v>888</v>
      </c>
      <c r="E43" s="472" t="s">
        <v>1054</v>
      </c>
      <c r="F43" s="488" t="s">
        <v>886</v>
      </c>
      <c r="G43" s="488" t="s">
        <v>1055</v>
      </c>
    </row>
    <row r="53" spans="7:16" ht="210" x14ac:dyDescent="0.25">
      <c r="G53" s="467" t="s">
        <v>926</v>
      </c>
      <c r="H53" s="467" t="s">
        <v>528</v>
      </c>
      <c r="I53" s="468" t="s">
        <v>1123</v>
      </c>
      <c r="J53" s="369" t="s">
        <v>1053</v>
      </c>
      <c r="K53" s="467" t="s">
        <v>577</v>
      </c>
    </row>
    <row r="54" spans="7:16" ht="210" x14ac:dyDescent="0.25">
      <c r="G54" s="368" t="s">
        <v>1009</v>
      </c>
      <c r="H54" s="467" t="s">
        <v>761</v>
      </c>
      <c r="I54" s="468" t="s">
        <v>500</v>
      </c>
      <c r="J54" s="467" t="s">
        <v>583</v>
      </c>
      <c r="K54" s="467" t="s">
        <v>1092</v>
      </c>
    </row>
    <row r="55" spans="7:16" x14ac:dyDescent="0.25">
      <c r="G55" s="368"/>
      <c r="H55" s="467"/>
      <c r="I55" s="468"/>
      <c r="J55" s="467"/>
      <c r="K55" s="467"/>
      <c r="P55" s="368"/>
    </row>
  </sheetData>
  <mergeCells count="18">
    <mergeCell ref="A3:A7"/>
    <mergeCell ref="B3:B6"/>
    <mergeCell ref="C3:C5"/>
    <mergeCell ref="A41:A43"/>
    <mergeCell ref="A40:B40"/>
    <mergeCell ref="A19:A24"/>
    <mergeCell ref="B19:B24"/>
    <mergeCell ref="C19:C22"/>
    <mergeCell ref="C23:C24"/>
    <mergeCell ref="A15:A17"/>
    <mergeCell ref="C9:C10"/>
    <mergeCell ref="A26:A39"/>
    <mergeCell ref="B26:B39"/>
    <mergeCell ref="C26:C39"/>
    <mergeCell ref="A12:B12"/>
    <mergeCell ref="A14:B14"/>
    <mergeCell ref="A9:A11"/>
    <mergeCell ref="B9:B10"/>
  </mergeCells>
  <pageMargins left="0.7" right="0.7" top="0.75" bottom="0.75" header="0.3" footer="0.3"/>
  <pageSetup paperSize="9"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1"/>
  <sheetViews>
    <sheetView workbookViewId="0">
      <selection activeCell="B3" sqref="A3:B22"/>
    </sheetView>
  </sheetViews>
  <sheetFormatPr defaultColWidth="9" defaultRowHeight="15" x14ac:dyDescent="0.25"/>
  <cols>
    <col min="1" max="1" width="8.140625" style="252" customWidth="1"/>
    <col min="2" max="2" width="43.140625" style="252" customWidth="1"/>
    <col min="3" max="3" width="20.140625" style="252" bestFit="1" customWidth="1"/>
    <col min="4" max="4" width="33.42578125" style="252" customWidth="1"/>
    <col min="5" max="5" width="14" style="252" customWidth="1"/>
    <col min="6" max="6" width="10.7109375" style="252" customWidth="1"/>
    <col min="7" max="7" width="12.42578125" style="252" customWidth="1"/>
    <col min="8" max="8" width="42.85546875" style="249" customWidth="1"/>
    <col min="9" max="9" width="19.5703125" style="30" customWidth="1"/>
    <col min="10" max="10" width="40.140625" style="30" customWidth="1"/>
    <col min="11" max="16384" width="9" style="30"/>
  </cols>
  <sheetData>
    <row r="1" spans="1:11" x14ac:dyDescent="0.25">
      <c r="A1" s="260" t="s">
        <v>526</v>
      </c>
      <c r="B1" s="260" t="s">
        <v>468</v>
      </c>
      <c r="C1" s="260" t="s">
        <v>408</v>
      </c>
      <c r="D1" s="260" t="s">
        <v>905</v>
      </c>
      <c r="E1" s="260" t="s">
        <v>906</v>
      </c>
      <c r="F1" s="260" t="s">
        <v>910</v>
      </c>
      <c r="G1" s="260" t="s">
        <v>911</v>
      </c>
      <c r="H1" s="261" t="s">
        <v>907</v>
      </c>
      <c r="I1" s="261" t="s">
        <v>664</v>
      </c>
      <c r="J1" s="247"/>
    </row>
    <row r="2" spans="1:11" s="268" customFormat="1" x14ac:dyDescent="0.25">
      <c r="A2" s="265"/>
      <c r="B2" s="265"/>
      <c r="C2" s="265"/>
      <c r="D2" s="265"/>
      <c r="E2" s="266">
        <v>2005</v>
      </c>
      <c r="F2" s="266">
        <v>2010</v>
      </c>
      <c r="G2" s="266">
        <v>2020</v>
      </c>
      <c r="H2" s="267"/>
    </row>
    <row r="3" spans="1:11" s="33" customFormat="1" x14ac:dyDescent="0.25">
      <c r="A3" s="49" t="s">
        <v>948</v>
      </c>
      <c r="B3" s="49" t="s">
        <v>148</v>
      </c>
      <c r="C3" s="49" t="s">
        <v>973</v>
      </c>
      <c r="D3" s="197" t="s">
        <v>904</v>
      </c>
      <c r="E3" s="250">
        <v>1291.8683745646322</v>
      </c>
      <c r="F3" s="250">
        <v>1235.8024622924345</v>
      </c>
      <c r="G3" s="250">
        <v>1219.7328566603767</v>
      </c>
      <c r="H3" s="249" t="s">
        <v>996</v>
      </c>
      <c r="I3" s="198" t="s">
        <v>979</v>
      </c>
    </row>
    <row r="4" spans="1:11" s="33" customFormat="1" x14ac:dyDescent="0.25">
      <c r="A4" s="197"/>
      <c r="B4" s="197"/>
      <c r="C4" s="197"/>
      <c r="D4" s="197"/>
      <c r="E4" s="248">
        <v>2005</v>
      </c>
      <c r="F4" s="248">
        <v>2010</v>
      </c>
      <c r="G4" s="248">
        <v>2020</v>
      </c>
      <c r="H4" s="249"/>
    </row>
    <row r="5" spans="1:11" s="33" customFormat="1" x14ac:dyDescent="0.25">
      <c r="A5" s="49" t="s">
        <v>949</v>
      </c>
      <c r="B5" s="49" t="s">
        <v>149</v>
      </c>
      <c r="C5" s="49" t="s">
        <v>973</v>
      </c>
      <c r="D5" s="197" t="s">
        <v>904</v>
      </c>
      <c r="E5" s="250">
        <v>2351.3093737673462</v>
      </c>
      <c r="F5" s="250">
        <v>2648.5507848746106</v>
      </c>
      <c r="G5" s="250">
        <v>2883.9107506875512</v>
      </c>
      <c r="H5" s="249" t="s">
        <v>996</v>
      </c>
      <c r="I5" s="198" t="s">
        <v>979</v>
      </c>
    </row>
    <row r="6" spans="1:11" s="268" customFormat="1" x14ac:dyDescent="0.25">
      <c r="A6" s="265"/>
      <c r="B6" s="265"/>
      <c r="C6" s="265"/>
      <c r="D6" s="265"/>
      <c r="E6" s="266">
        <v>2005</v>
      </c>
      <c r="F6" s="266">
        <v>2010</v>
      </c>
      <c r="G6" s="266">
        <v>2020</v>
      </c>
      <c r="H6" s="267"/>
    </row>
    <row r="7" spans="1:11" s="33" customFormat="1" x14ac:dyDescent="0.25">
      <c r="A7" s="49" t="s">
        <v>950</v>
      </c>
      <c r="B7" s="49" t="s">
        <v>150</v>
      </c>
      <c r="C7" s="49" t="s">
        <v>973</v>
      </c>
      <c r="D7" s="197" t="s">
        <v>904</v>
      </c>
      <c r="E7" s="250">
        <v>593.11967136158501</v>
      </c>
      <c r="F7" s="250">
        <v>808.57371024358497</v>
      </c>
      <c r="G7" s="250">
        <v>999.36438365326194</v>
      </c>
      <c r="H7" s="249" t="s">
        <v>996</v>
      </c>
      <c r="I7" s="198" t="s">
        <v>979</v>
      </c>
    </row>
    <row r="8" spans="1:11" s="268" customFormat="1" x14ac:dyDescent="0.25">
      <c r="A8" s="265"/>
      <c r="B8" s="265"/>
      <c r="C8" s="265"/>
      <c r="D8" s="265"/>
      <c r="E8" s="266">
        <v>2005</v>
      </c>
      <c r="F8" s="266">
        <v>2010</v>
      </c>
      <c r="G8" s="266">
        <v>2020</v>
      </c>
      <c r="H8" s="267"/>
    </row>
    <row r="9" spans="1:11" s="33" customFormat="1" x14ac:dyDescent="0.25">
      <c r="A9" s="49" t="s">
        <v>952</v>
      </c>
      <c r="B9" s="49" t="s">
        <v>20</v>
      </c>
      <c r="C9" s="49" t="s">
        <v>959</v>
      </c>
      <c r="D9" s="197" t="s">
        <v>904</v>
      </c>
      <c r="E9" s="250">
        <v>340.77550000000002</v>
      </c>
      <c r="F9" s="250">
        <v>367.28081250000002</v>
      </c>
      <c r="G9" s="250">
        <v>395.25809375</v>
      </c>
      <c r="H9" s="249" t="s">
        <v>996</v>
      </c>
      <c r="I9" s="198" t="s">
        <v>979</v>
      </c>
    </row>
    <row r="10" spans="1:11" s="33" customFormat="1" x14ac:dyDescent="0.25">
      <c r="A10" s="197"/>
      <c r="B10" s="197"/>
      <c r="C10" s="197"/>
      <c r="D10" s="197" t="s">
        <v>972</v>
      </c>
      <c r="E10" s="253">
        <v>160.83889135742101</v>
      </c>
      <c r="F10" s="254">
        <v>152.96450097656199</v>
      </c>
      <c r="G10" s="255">
        <v>153.708977539062</v>
      </c>
      <c r="H10" s="249"/>
    </row>
    <row r="11" spans="1:11" s="33" customFormat="1" x14ac:dyDescent="0.25">
      <c r="A11" s="197"/>
      <c r="B11" s="197"/>
      <c r="C11" s="197"/>
      <c r="D11" s="197" t="s">
        <v>974</v>
      </c>
      <c r="E11" s="253">
        <v>99.810290527343696</v>
      </c>
      <c r="F11" s="254">
        <v>128.659211425781</v>
      </c>
      <c r="G11" s="255">
        <v>145.05601123046799</v>
      </c>
      <c r="H11" s="249"/>
    </row>
    <row r="12" spans="1:11" s="33" customFormat="1" x14ac:dyDescent="0.25">
      <c r="A12" s="197"/>
      <c r="B12" s="197"/>
      <c r="C12" s="197"/>
      <c r="D12" s="197" t="s">
        <v>976</v>
      </c>
      <c r="E12" s="253">
        <v>31.935296874999999</v>
      </c>
      <c r="F12" s="254">
        <v>36.115199707031202</v>
      </c>
      <c r="G12" s="255">
        <v>40.169336669921798</v>
      </c>
      <c r="H12" s="249"/>
    </row>
    <row r="13" spans="1:11" s="33" customFormat="1" ht="30" x14ac:dyDescent="0.25">
      <c r="A13" s="197"/>
      <c r="B13" s="197"/>
      <c r="C13" s="197"/>
      <c r="D13" s="197" t="s">
        <v>975</v>
      </c>
      <c r="E13" s="256">
        <v>27.392917968749899</v>
      </c>
      <c r="F13" s="257">
        <v>27.229809082031199</v>
      </c>
      <c r="G13" s="258">
        <v>28.821228515624998</v>
      </c>
      <c r="H13" s="249"/>
    </row>
    <row r="14" spans="1:11" s="33" customFormat="1" x14ac:dyDescent="0.25">
      <c r="A14" s="197"/>
      <c r="B14" s="197"/>
      <c r="C14" s="197"/>
      <c r="D14" s="197" t="s">
        <v>977</v>
      </c>
      <c r="E14" s="256">
        <v>20.798118896484301</v>
      </c>
      <c r="F14" s="257">
        <v>22.3121328125</v>
      </c>
      <c r="G14" s="258">
        <v>27.502517578124898</v>
      </c>
      <c r="H14" s="249"/>
    </row>
    <row r="15" spans="1:11" x14ac:dyDescent="0.25">
      <c r="A15" s="265"/>
      <c r="B15" s="265"/>
      <c r="C15" s="265"/>
      <c r="D15" s="265"/>
      <c r="E15" s="266">
        <v>2018</v>
      </c>
      <c r="F15" s="266">
        <v>2019</v>
      </c>
      <c r="G15" s="266">
        <v>2020</v>
      </c>
      <c r="I15" s="249"/>
      <c r="J15" s="249"/>
      <c r="K15" s="249"/>
    </row>
    <row r="16" spans="1:11" s="243" customFormat="1" x14ac:dyDescent="0.25">
      <c r="A16" s="173" t="s">
        <v>610</v>
      </c>
      <c r="B16" s="173" t="s">
        <v>495</v>
      </c>
      <c r="C16" s="173" t="s">
        <v>191</v>
      </c>
      <c r="D16" s="246" t="s">
        <v>904</v>
      </c>
      <c r="E16" s="250">
        <v>9.6545000000000006E-2</v>
      </c>
      <c r="F16" s="250">
        <v>9.5098000000000002E-2</v>
      </c>
      <c r="G16" s="250">
        <v>9.3712000000000004E-2</v>
      </c>
      <c r="H16" s="243" t="s">
        <v>997</v>
      </c>
    </row>
    <row r="17" spans="1:20" s="286" customFormat="1" x14ac:dyDescent="0.25">
      <c r="A17" s="265"/>
      <c r="B17" s="265"/>
      <c r="C17" s="265"/>
      <c r="D17" s="265"/>
      <c r="E17" s="266">
        <v>2018</v>
      </c>
      <c r="F17" s="266">
        <v>2019</v>
      </c>
      <c r="G17" s="266">
        <v>2020</v>
      </c>
    </row>
    <row r="18" spans="1:20" x14ac:dyDescent="0.25">
      <c r="A18" s="173" t="s">
        <v>613</v>
      </c>
      <c r="B18" s="173" t="s">
        <v>1110</v>
      </c>
      <c r="C18" s="173" t="s">
        <v>191</v>
      </c>
      <c r="D18" s="173" t="s">
        <v>904</v>
      </c>
      <c r="E18" s="250">
        <v>0.14688000000000001</v>
      </c>
      <c r="F18" s="250">
        <v>0.14702599999999999</v>
      </c>
      <c r="G18" s="250">
        <v>0.14718800000000001</v>
      </c>
      <c r="H18" s="286" t="s">
        <v>997</v>
      </c>
      <c r="I18" s="249"/>
      <c r="J18" s="249"/>
      <c r="K18" s="249"/>
    </row>
    <row r="19" spans="1:20" x14ac:dyDescent="0.25">
      <c r="A19" s="265"/>
      <c r="B19" s="265"/>
      <c r="C19" s="265"/>
      <c r="D19" s="265"/>
      <c r="E19" s="266">
        <v>2018</v>
      </c>
      <c r="F19" s="266">
        <v>2019</v>
      </c>
      <c r="G19" s="266">
        <v>2020</v>
      </c>
      <c r="I19" s="249"/>
      <c r="J19" s="249"/>
      <c r="K19" s="249"/>
    </row>
    <row r="20" spans="1:20" x14ac:dyDescent="0.25">
      <c r="A20" s="173" t="s">
        <v>616</v>
      </c>
      <c r="B20" s="173" t="s">
        <v>633</v>
      </c>
      <c r="C20" s="173" t="s">
        <v>191</v>
      </c>
      <c r="D20" s="173" t="s">
        <v>904</v>
      </c>
      <c r="E20" s="250">
        <v>0.69621500000000003</v>
      </c>
      <c r="F20" s="250">
        <v>0.69657599999999997</v>
      </c>
      <c r="G20" s="250">
        <v>0.69682699999999997</v>
      </c>
      <c r="H20" s="286" t="s">
        <v>997</v>
      </c>
      <c r="I20" s="249"/>
      <c r="J20" s="249"/>
      <c r="K20" s="249"/>
    </row>
    <row r="21" spans="1:20" x14ac:dyDescent="0.25">
      <c r="A21" s="265"/>
      <c r="B21" s="265"/>
      <c r="C21" s="265"/>
      <c r="D21" s="265"/>
      <c r="E21" s="266">
        <v>2018</v>
      </c>
      <c r="F21" s="266">
        <v>2019</v>
      </c>
      <c r="G21" s="266">
        <v>2020</v>
      </c>
      <c r="I21" s="249"/>
      <c r="J21" s="249"/>
      <c r="K21" s="249"/>
    </row>
    <row r="22" spans="1:20" ht="30" x14ac:dyDescent="0.25">
      <c r="A22" s="173" t="s">
        <v>619</v>
      </c>
      <c r="B22" s="173" t="s">
        <v>634</v>
      </c>
      <c r="C22" s="173" t="s">
        <v>191</v>
      </c>
      <c r="D22" s="173" t="s">
        <v>904</v>
      </c>
      <c r="E22" s="250">
        <v>6.0359999999999997E-2</v>
      </c>
      <c r="F22" s="250">
        <v>6.13E-2</v>
      </c>
      <c r="G22" s="250">
        <v>6.2273000000000002E-2</v>
      </c>
      <c r="H22" s="286" t="s">
        <v>997</v>
      </c>
      <c r="I22" s="249"/>
      <c r="J22" s="249"/>
      <c r="K22" s="249"/>
    </row>
    <row r="23" spans="1:20" x14ac:dyDescent="0.25">
      <c r="A23" s="345"/>
      <c r="B23" s="415"/>
      <c r="C23" s="415"/>
      <c r="D23" s="415"/>
      <c r="E23" s="417">
        <v>2015</v>
      </c>
      <c r="F23" s="417">
        <v>2016</v>
      </c>
      <c r="G23" s="417">
        <v>2017</v>
      </c>
      <c r="H23" s="417"/>
      <c r="I23" s="417"/>
      <c r="J23" s="417"/>
      <c r="K23" s="417"/>
      <c r="L23" s="417">
        <f>Table14[[#This Row],[Ambitious target 2030]]+Table14[[#This Row],[Ambitious target 2030]]*0.5</f>
        <v>0</v>
      </c>
      <c r="M23" s="417"/>
      <c r="N23" s="417"/>
      <c r="O23" s="417"/>
      <c r="P23" s="417"/>
      <c r="Q23" s="417"/>
      <c r="R23" s="417">
        <f>Table14[[#This Row],[Worst value 2030]]-Table14[[#This Row],[Worst value 2030]]*0.5</f>
        <v>0</v>
      </c>
      <c r="S23" s="417"/>
      <c r="T23" s="342"/>
    </row>
    <row r="24" spans="1:20" x14ac:dyDescent="0.25">
      <c r="A24" s="341" t="s">
        <v>946</v>
      </c>
      <c r="B24" s="438" t="s">
        <v>147</v>
      </c>
      <c r="C24" s="438" t="s">
        <v>973</v>
      </c>
      <c r="D24" s="436" t="s">
        <v>904</v>
      </c>
      <c r="E24" s="420">
        <v>7379.7971390000002</v>
      </c>
      <c r="F24" s="420">
        <v>7464.0220489999992</v>
      </c>
      <c r="G24" s="420">
        <v>7547.8589249999995</v>
      </c>
      <c r="H24" s="421">
        <v>2015</v>
      </c>
      <c r="I24" s="430">
        <v>7379.7971390000002</v>
      </c>
      <c r="J24" s="430">
        <v>2015</v>
      </c>
      <c r="K24" s="430">
        <v>6840.91</v>
      </c>
      <c r="L24" s="430">
        <f>Table14[[#This Row],[Ambitious target 2030]]-Table14[[#This Row],[Ambitious target 2030]]*0.5</f>
        <v>0</v>
      </c>
      <c r="M24" s="430">
        <v>8061.9380000000001</v>
      </c>
      <c r="N24" s="430">
        <v>0.1</v>
      </c>
      <c r="O24" s="430" t="s">
        <v>985</v>
      </c>
      <c r="P24" s="430">
        <v>8258.5650000000005</v>
      </c>
      <c r="Q24" s="430">
        <v>8514.3070000000007</v>
      </c>
      <c r="R24" s="430">
        <f>Table14[[#This Row],[Worst value 2030]]+Table14[[#This Row],[Worst value 2030]]*0.5</f>
        <v>0</v>
      </c>
      <c r="S24" s="430" t="s">
        <v>1125</v>
      </c>
      <c r="T24" s="343" t="s">
        <v>1121</v>
      </c>
    </row>
    <row r="25" spans="1:20" x14ac:dyDescent="0.25">
      <c r="A25" s="249"/>
      <c r="B25" s="249"/>
      <c r="C25" s="249"/>
      <c r="D25" s="249"/>
      <c r="E25" s="249"/>
      <c r="F25" s="249"/>
      <c r="G25" s="249"/>
      <c r="I25" s="249"/>
      <c r="J25" s="249"/>
      <c r="K25" s="249"/>
    </row>
    <row r="26" spans="1:20" x14ac:dyDescent="0.25">
      <c r="A26" s="249"/>
      <c r="B26" s="249"/>
      <c r="C26" s="249"/>
      <c r="D26" s="249"/>
      <c r="E26" s="249"/>
      <c r="F26" s="249"/>
      <c r="G26" s="249"/>
      <c r="I26" s="249"/>
      <c r="J26" s="249"/>
      <c r="K26" s="249"/>
    </row>
    <row r="27" spans="1:20" x14ac:dyDescent="0.25">
      <c r="A27" s="249"/>
      <c r="B27" s="249"/>
      <c r="C27" s="249"/>
      <c r="D27" s="249"/>
      <c r="E27" s="249"/>
      <c r="F27" s="249"/>
      <c r="G27" s="249"/>
      <c r="I27" s="249"/>
      <c r="J27" s="249"/>
      <c r="K27" s="249"/>
    </row>
    <row r="28" spans="1:20" x14ac:dyDescent="0.25">
      <c r="A28" s="249"/>
      <c r="B28" s="249"/>
      <c r="C28" s="249"/>
      <c r="D28" s="249"/>
      <c r="E28" s="249"/>
      <c r="F28" s="249"/>
      <c r="G28" s="249"/>
      <c r="I28" s="249"/>
      <c r="J28" s="249"/>
      <c r="K28" s="249"/>
    </row>
    <row r="29" spans="1:20" x14ac:dyDescent="0.25">
      <c r="A29" s="249"/>
      <c r="B29" s="249"/>
      <c r="C29" s="249"/>
      <c r="D29" s="249"/>
      <c r="E29" s="249"/>
      <c r="F29" s="249"/>
      <c r="G29" s="249"/>
      <c r="I29" s="249"/>
      <c r="J29" s="249"/>
      <c r="K29" s="249"/>
    </row>
    <row r="30" spans="1:20" x14ac:dyDescent="0.25">
      <c r="A30" s="249"/>
      <c r="B30" s="249"/>
      <c r="C30" s="249"/>
      <c r="D30" s="249"/>
      <c r="E30" s="249"/>
      <c r="F30" s="249"/>
      <c r="G30" s="249"/>
      <c r="I30" s="249"/>
      <c r="J30" s="249"/>
      <c r="K30" s="249"/>
    </row>
    <row r="31" spans="1:20" x14ac:dyDescent="0.25">
      <c r="A31" s="249"/>
      <c r="B31" s="249"/>
      <c r="C31" s="249"/>
      <c r="D31" s="249"/>
      <c r="E31" s="249"/>
      <c r="F31" s="249"/>
      <c r="G31" s="249"/>
      <c r="I31" s="249"/>
      <c r="J31" s="249"/>
      <c r="K31" s="249"/>
    </row>
    <row r="32" spans="1:20" x14ac:dyDescent="0.25">
      <c r="A32" s="249"/>
      <c r="B32" s="249"/>
      <c r="C32" s="249"/>
      <c r="D32" s="249"/>
      <c r="E32" s="249"/>
      <c r="F32" s="249"/>
      <c r="G32" s="249"/>
      <c r="I32" s="249"/>
      <c r="J32" s="249"/>
      <c r="K32" s="249"/>
    </row>
    <row r="33" spans="1:11" x14ac:dyDescent="0.25">
      <c r="A33" s="249"/>
      <c r="B33" s="249"/>
      <c r="C33" s="249"/>
      <c r="D33" s="249"/>
      <c r="E33" s="249"/>
      <c r="F33" s="249"/>
      <c r="G33" s="249"/>
      <c r="I33" s="249"/>
      <c r="J33" s="249"/>
      <c r="K33" s="249"/>
    </row>
    <row r="34" spans="1:11" x14ac:dyDescent="0.25">
      <c r="A34" s="249"/>
      <c r="B34" s="249"/>
      <c r="C34" s="249"/>
      <c r="D34" s="249"/>
      <c r="E34" s="249"/>
      <c r="F34" s="249"/>
      <c r="G34" s="249"/>
      <c r="I34" s="249"/>
      <c r="J34" s="249"/>
      <c r="K34" s="249"/>
    </row>
    <row r="35" spans="1:11" x14ac:dyDescent="0.25">
      <c r="A35" s="249"/>
      <c r="B35" s="249"/>
      <c r="C35" s="249"/>
      <c r="D35" s="249"/>
      <c r="E35" s="249"/>
      <c r="F35" s="249"/>
      <c r="G35" s="249"/>
      <c r="I35" s="249"/>
      <c r="J35" s="249"/>
      <c r="K35" s="249"/>
    </row>
    <row r="36" spans="1:11" x14ac:dyDescent="0.25">
      <c r="A36" s="249"/>
      <c r="B36" s="249"/>
      <c r="C36" s="249"/>
      <c r="D36" s="249"/>
      <c r="E36" s="249"/>
      <c r="F36" s="249"/>
      <c r="G36" s="249"/>
      <c r="I36" s="249"/>
      <c r="J36" s="249"/>
      <c r="K36" s="249"/>
    </row>
    <row r="37" spans="1:11" x14ac:dyDescent="0.25">
      <c r="A37" s="249"/>
      <c r="B37" s="249"/>
      <c r="C37" s="249"/>
      <c r="D37" s="249"/>
      <c r="E37" s="249"/>
      <c r="F37" s="249"/>
      <c r="G37" s="249"/>
      <c r="I37" s="249"/>
      <c r="J37" s="249"/>
      <c r="K37" s="249"/>
    </row>
    <row r="38" spans="1:11" x14ac:dyDescent="0.25">
      <c r="A38" s="249"/>
      <c r="B38" s="249"/>
      <c r="C38" s="249"/>
      <c r="D38" s="249"/>
      <c r="E38" s="249"/>
      <c r="F38" s="249"/>
      <c r="G38" s="249"/>
      <c r="I38" s="249"/>
      <c r="J38" s="249"/>
      <c r="K38" s="249"/>
    </row>
    <row r="39" spans="1:11" x14ac:dyDescent="0.25">
      <c r="A39" s="249"/>
      <c r="B39" s="249"/>
      <c r="C39" s="249"/>
      <c r="D39" s="249"/>
      <c r="E39" s="249"/>
      <c r="F39" s="249"/>
      <c r="G39" s="249"/>
      <c r="I39" s="249"/>
      <c r="J39" s="249"/>
      <c r="K39" s="249"/>
    </row>
    <row r="40" spans="1:11" x14ac:dyDescent="0.25">
      <c r="A40" s="249"/>
      <c r="B40" s="249"/>
      <c r="C40" s="249"/>
      <c r="D40" s="249"/>
      <c r="E40" s="249"/>
      <c r="F40" s="249"/>
      <c r="G40" s="249"/>
      <c r="I40" s="249"/>
      <c r="J40" s="249"/>
      <c r="K40" s="249"/>
    </row>
    <row r="41" spans="1:11" x14ac:dyDescent="0.25">
      <c r="A41" s="249"/>
      <c r="B41" s="249"/>
      <c r="C41" s="249"/>
      <c r="D41" s="249"/>
      <c r="E41" s="249"/>
      <c r="F41" s="249"/>
      <c r="G41" s="249"/>
      <c r="I41" s="249"/>
      <c r="J41" s="249"/>
      <c r="K41" s="249"/>
    </row>
    <row r="42" spans="1:11" x14ac:dyDescent="0.25">
      <c r="A42" s="249"/>
      <c r="B42" s="249"/>
      <c r="C42" s="249"/>
      <c r="D42" s="249"/>
      <c r="E42" s="249"/>
      <c r="F42" s="249"/>
      <c r="G42" s="249"/>
      <c r="I42" s="249"/>
      <c r="J42" s="249"/>
      <c r="K42" s="249"/>
    </row>
    <row r="43" spans="1:11" x14ac:dyDescent="0.25">
      <c r="A43" s="249"/>
      <c r="B43" s="249"/>
      <c r="C43" s="249"/>
      <c r="D43" s="249"/>
      <c r="E43" s="249"/>
      <c r="F43" s="249"/>
      <c r="G43" s="249"/>
      <c r="I43" s="249"/>
      <c r="J43" s="249"/>
      <c r="K43" s="249"/>
    </row>
    <row r="44" spans="1:11" x14ac:dyDescent="0.25">
      <c r="A44" s="249"/>
      <c r="B44" s="249"/>
      <c r="C44" s="249"/>
      <c r="D44" s="249"/>
      <c r="E44" s="249"/>
      <c r="F44" s="249"/>
      <c r="G44" s="249"/>
      <c r="I44" s="249"/>
      <c r="J44" s="249"/>
      <c r="K44" s="249"/>
    </row>
    <row r="45" spans="1:11" x14ac:dyDescent="0.25">
      <c r="A45" s="249"/>
      <c r="B45" s="249"/>
      <c r="C45" s="249"/>
      <c r="D45" s="249"/>
      <c r="E45" s="249"/>
      <c r="F45" s="249"/>
      <c r="G45" s="249"/>
      <c r="I45" s="249"/>
      <c r="J45" s="249"/>
      <c r="K45" s="249"/>
    </row>
    <row r="46" spans="1:11" x14ac:dyDescent="0.25">
      <c r="A46" s="249"/>
      <c r="B46" s="249"/>
      <c r="C46" s="249"/>
      <c r="D46" s="249"/>
      <c r="E46" s="249"/>
      <c r="F46" s="249"/>
      <c r="G46" s="249"/>
      <c r="I46" s="249"/>
      <c r="J46" s="249"/>
      <c r="K46" s="249"/>
    </row>
    <row r="47" spans="1:11" x14ac:dyDescent="0.25">
      <c r="A47" s="249"/>
      <c r="B47" s="249"/>
      <c r="C47" s="249"/>
      <c r="D47" s="249"/>
      <c r="E47" s="249"/>
      <c r="F47" s="249"/>
      <c r="G47" s="249"/>
      <c r="I47" s="249"/>
      <c r="J47" s="249"/>
      <c r="K47" s="249"/>
    </row>
    <row r="48" spans="1:11" x14ac:dyDescent="0.25">
      <c r="A48" s="249"/>
      <c r="B48" s="249"/>
      <c r="C48" s="249"/>
      <c r="D48" s="249"/>
      <c r="E48" s="249"/>
      <c r="F48" s="249"/>
      <c r="G48" s="249"/>
      <c r="I48" s="249"/>
      <c r="J48" s="249"/>
      <c r="K48" s="249"/>
    </row>
    <row r="49" spans="1:11" x14ac:dyDescent="0.25">
      <c r="A49" s="249"/>
      <c r="B49" s="249"/>
      <c r="C49" s="249"/>
      <c r="D49" s="249"/>
      <c r="E49" s="249"/>
      <c r="F49" s="249"/>
      <c r="G49" s="249"/>
      <c r="I49" s="249"/>
      <c r="J49" s="249"/>
      <c r="K49" s="249"/>
    </row>
    <row r="50" spans="1:11" x14ac:dyDescent="0.25">
      <c r="A50" s="249"/>
      <c r="B50" s="249"/>
      <c r="C50" s="249"/>
      <c r="D50" s="249"/>
      <c r="E50" s="249"/>
      <c r="F50" s="249"/>
      <c r="G50" s="249"/>
      <c r="I50" s="249"/>
      <c r="J50" s="249"/>
      <c r="K50" s="249"/>
    </row>
    <row r="51" spans="1:11" x14ac:dyDescent="0.25">
      <c r="A51" s="249"/>
      <c r="B51" s="249"/>
      <c r="C51" s="249"/>
      <c r="D51" s="249"/>
      <c r="E51" s="249"/>
      <c r="F51" s="249"/>
      <c r="G51" s="249"/>
      <c r="I51" s="249"/>
      <c r="J51" s="249"/>
      <c r="K51" s="249"/>
    </row>
    <row r="52" spans="1:11" x14ac:dyDescent="0.25">
      <c r="A52" s="249"/>
      <c r="B52" s="249"/>
      <c r="C52" s="249"/>
      <c r="D52" s="249"/>
      <c r="E52" s="249"/>
      <c r="F52" s="249"/>
      <c r="G52" s="249"/>
      <c r="I52" s="249"/>
      <c r="J52" s="249"/>
      <c r="K52" s="249"/>
    </row>
    <row r="53" spans="1:11" x14ac:dyDescent="0.25">
      <c r="A53" s="249"/>
      <c r="B53" s="249"/>
      <c r="C53" s="249"/>
      <c r="D53" s="249"/>
      <c r="E53" s="249"/>
      <c r="F53" s="249"/>
      <c r="G53" s="249"/>
      <c r="I53" s="249"/>
      <c r="J53" s="249"/>
      <c r="K53" s="249"/>
    </row>
    <row r="54" spans="1:11" x14ac:dyDescent="0.25">
      <c r="A54" s="249"/>
      <c r="B54" s="249"/>
      <c r="C54" s="249"/>
      <c r="D54" s="249"/>
      <c r="E54" s="249"/>
      <c r="F54" s="249"/>
      <c r="G54" s="249"/>
      <c r="I54" s="249"/>
      <c r="J54" s="249"/>
      <c r="K54" s="249"/>
    </row>
    <row r="55" spans="1:11" x14ac:dyDescent="0.25">
      <c r="A55" s="249"/>
      <c r="B55" s="249"/>
      <c r="C55" s="249"/>
      <c r="D55" s="249"/>
      <c r="E55" s="249"/>
      <c r="F55" s="249"/>
      <c r="G55" s="249"/>
      <c r="I55" s="249"/>
      <c r="J55" s="249"/>
      <c r="K55" s="249"/>
    </row>
    <row r="56" spans="1:11" x14ac:dyDescent="0.25">
      <c r="A56" s="249"/>
      <c r="B56" s="249"/>
      <c r="C56" s="249"/>
      <c r="D56" s="249"/>
      <c r="E56" s="249"/>
      <c r="F56" s="249"/>
      <c r="G56" s="249"/>
      <c r="I56" s="249"/>
      <c r="J56" s="249"/>
      <c r="K56" s="249"/>
    </row>
    <row r="57" spans="1:11" x14ac:dyDescent="0.25">
      <c r="A57" s="249"/>
      <c r="B57" s="249"/>
      <c r="C57" s="249"/>
      <c r="D57" s="249"/>
      <c r="E57" s="249"/>
      <c r="F57" s="249"/>
      <c r="G57" s="249"/>
      <c r="I57" s="249"/>
      <c r="J57" s="249"/>
      <c r="K57" s="249"/>
    </row>
    <row r="58" spans="1:11" x14ac:dyDescent="0.25">
      <c r="A58" s="249"/>
      <c r="B58" s="249"/>
      <c r="C58" s="249"/>
      <c r="D58" s="249"/>
      <c r="E58" s="249"/>
      <c r="F58" s="249"/>
      <c r="G58" s="249"/>
      <c r="I58" s="249"/>
      <c r="J58" s="249"/>
      <c r="K58" s="249"/>
    </row>
    <row r="59" spans="1:11" x14ac:dyDescent="0.25">
      <c r="A59" s="249"/>
      <c r="B59" s="249"/>
      <c r="C59" s="249"/>
      <c r="D59" s="249"/>
      <c r="E59" s="249"/>
      <c r="F59" s="249"/>
      <c r="G59" s="249"/>
      <c r="I59" s="249"/>
      <c r="J59" s="249"/>
      <c r="K59" s="249"/>
    </row>
    <row r="60" spans="1:11" x14ac:dyDescent="0.25">
      <c r="A60" s="249"/>
      <c r="B60" s="249"/>
      <c r="C60" s="249"/>
      <c r="D60" s="249"/>
      <c r="E60" s="249"/>
      <c r="F60" s="249"/>
      <c r="G60" s="249"/>
      <c r="I60" s="249"/>
      <c r="J60" s="249"/>
      <c r="K60" s="249"/>
    </row>
    <row r="61" spans="1:11" x14ac:dyDescent="0.25">
      <c r="A61" s="249"/>
      <c r="B61" s="249"/>
      <c r="C61" s="249"/>
      <c r="D61" s="249"/>
      <c r="E61" s="249"/>
      <c r="F61" s="249"/>
      <c r="G61" s="249"/>
      <c r="I61" s="249"/>
      <c r="J61" s="249"/>
      <c r="K61" s="249"/>
    </row>
    <row r="62" spans="1:11" x14ac:dyDescent="0.25">
      <c r="A62" s="249"/>
      <c r="B62" s="249"/>
      <c r="C62" s="249"/>
      <c r="D62" s="249"/>
      <c r="E62" s="249"/>
      <c r="F62" s="249"/>
      <c r="G62" s="249"/>
      <c r="I62" s="249"/>
      <c r="J62" s="249"/>
      <c r="K62" s="249"/>
    </row>
    <row r="63" spans="1:11" x14ac:dyDescent="0.25">
      <c r="A63" s="249"/>
      <c r="B63" s="249"/>
      <c r="C63" s="249"/>
      <c r="D63" s="249"/>
      <c r="E63" s="249"/>
      <c r="F63" s="249"/>
      <c r="G63" s="249"/>
      <c r="I63" s="249"/>
      <c r="J63" s="249"/>
      <c r="K63" s="249"/>
    </row>
    <row r="64" spans="1:11" x14ac:dyDescent="0.25">
      <c r="A64" s="249"/>
      <c r="B64" s="249"/>
      <c r="C64" s="249"/>
      <c r="D64" s="249"/>
      <c r="E64" s="249"/>
      <c r="F64" s="249"/>
      <c r="G64" s="249"/>
      <c r="I64" s="249"/>
      <c r="J64" s="249"/>
      <c r="K64" s="249"/>
    </row>
    <row r="65" spans="1:11" x14ac:dyDescent="0.25">
      <c r="A65" s="249"/>
      <c r="B65" s="249"/>
      <c r="C65" s="249"/>
      <c r="D65" s="249"/>
      <c r="E65" s="249"/>
      <c r="F65" s="249"/>
      <c r="G65" s="249"/>
      <c r="I65" s="249"/>
      <c r="J65" s="249"/>
      <c r="K65" s="249"/>
    </row>
    <row r="66" spans="1:11" x14ac:dyDescent="0.25">
      <c r="A66" s="249"/>
      <c r="B66" s="249"/>
      <c r="C66" s="249"/>
      <c r="D66" s="249"/>
      <c r="E66" s="249"/>
      <c r="F66" s="249"/>
      <c r="G66" s="249"/>
      <c r="I66" s="249"/>
      <c r="J66" s="249"/>
      <c r="K66" s="249"/>
    </row>
    <row r="67" spans="1:11" x14ac:dyDescent="0.25">
      <c r="A67" s="249"/>
      <c r="B67" s="249"/>
      <c r="C67" s="249"/>
      <c r="D67" s="249"/>
      <c r="E67" s="249"/>
      <c r="F67" s="249"/>
      <c r="G67" s="249"/>
      <c r="I67" s="249"/>
      <c r="J67" s="249"/>
      <c r="K67" s="249"/>
    </row>
    <row r="68" spans="1:11" x14ac:dyDescent="0.25">
      <c r="A68" s="249"/>
      <c r="B68" s="249"/>
      <c r="C68" s="249"/>
      <c r="D68" s="249"/>
      <c r="E68" s="249"/>
      <c r="F68" s="249"/>
      <c r="G68" s="249"/>
      <c r="I68" s="249"/>
      <c r="J68" s="249"/>
      <c r="K68" s="249"/>
    </row>
    <row r="69" spans="1:11" x14ac:dyDescent="0.25">
      <c r="A69" s="249"/>
      <c r="B69" s="249"/>
      <c r="C69" s="249"/>
      <c r="D69" s="249"/>
      <c r="E69" s="249"/>
      <c r="F69" s="249"/>
      <c r="G69" s="249"/>
      <c r="I69" s="249"/>
      <c r="J69" s="249"/>
      <c r="K69" s="249"/>
    </row>
    <row r="70" spans="1:11" x14ac:dyDescent="0.25">
      <c r="A70" s="249"/>
      <c r="B70" s="249"/>
      <c r="C70" s="249"/>
      <c r="D70" s="249"/>
      <c r="E70" s="249"/>
      <c r="F70" s="249"/>
      <c r="G70" s="249"/>
      <c r="I70" s="249"/>
      <c r="J70" s="249"/>
      <c r="K70" s="249"/>
    </row>
    <row r="71" spans="1:11" x14ac:dyDescent="0.25">
      <c r="A71" s="249"/>
      <c r="B71" s="249"/>
      <c r="C71" s="249"/>
      <c r="D71" s="249"/>
      <c r="E71" s="249"/>
      <c r="F71" s="249"/>
      <c r="G71" s="249"/>
      <c r="I71" s="249"/>
      <c r="J71" s="249"/>
      <c r="K71" s="249"/>
    </row>
    <row r="72" spans="1:11" x14ac:dyDescent="0.25">
      <c r="A72" s="249"/>
      <c r="B72" s="249"/>
      <c r="C72" s="249"/>
      <c r="D72" s="249"/>
      <c r="E72" s="249"/>
      <c r="F72" s="249"/>
      <c r="G72" s="249"/>
      <c r="I72" s="249"/>
      <c r="J72" s="249"/>
      <c r="K72" s="249"/>
    </row>
    <row r="73" spans="1:11" x14ac:dyDescent="0.25">
      <c r="A73" s="249"/>
      <c r="B73" s="249"/>
      <c r="C73" s="249"/>
      <c r="D73" s="249"/>
      <c r="E73" s="249"/>
      <c r="F73" s="249"/>
      <c r="G73" s="249"/>
      <c r="I73" s="249"/>
      <c r="J73" s="249"/>
      <c r="K73" s="249"/>
    </row>
    <row r="74" spans="1:11" x14ac:dyDescent="0.25">
      <c r="A74" s="249"/>
      <c r="B74" s="249"/>
      <c r="C74" s="249"/>
      <c r="D74" s="249"/>
      <c r="E74" s="249"/>
      <c r="F74" s="249"/>
      <c r="G74" s="249"/>
      <c r="I74" s="249"/>
      <c r="J74" s="249"/>
      <c r="K74" s="249"/>
    </row>
    <row r="75" spans="1:11" x14ac:dyDescent="0.25">
      <c r="A75" s="249"/>
      <c r="B75" s="249"/>
      <c r="C75" s="249"/>
      <c r="D75" s="249"/>
      <c r="E75" s="249"/>
      <c r="F75" s="249"/>
      <c r="G75" s="249"/>
      <c r="I75" s="249"/>
      <c r="J75" s="249"/>
      <c r="K75" s="249"/>
    </row>
    <row r="76" spans="1:11" x14ac:dyDescent="0.25">
      <c r="A76" s="249"/>
      <c r="B76" s="249"/>
      <c r="C76" s="249"/>
      <c r="D76" s="249"/>
      <c r="E76" s="249"/>
      <c r="F76" s="249"/>
      <c r="G76" s="249"/>
      <c r="I76" s="249"/>
      <c r="J76" s="249"/>
      <c r="K76" s="249"/>
    </row>
    <row r="77" spans="1:11" x14ac:dyDescent="0.25">
      <c r="A77" s="249"/>
      <c r="B77" s="249"/>
      <c r="C77" s="249"/>
      <c r="D77" s="249"/>
      <c r="E77" s="249"/>
      <c r="F77" s="249"/>
      <c r="G77" s="249"/>
      <c r="I77" s="249"/>
      <c r="J77" s="249"/>
      <c r="K77" s="249"/>
    </row>
    <row r="78" spans="1:11" x14ac:dyDescent="0.25">
      <c r="A78" s="249"/>
      <c r="B78" s="249"/>
      <c r="C78" s="249"/>
      <c r="D78" s="249"/>
      <c r="E78" s="249"/>
      <c r="F78" s="249"/>
      <c r="G78" s="249"/>
      <c r="I78" s="249"/>
      <c r="J78" s="249"/>
      <c r="K78" s="249"/>
    </row>
    <row r="79" spans="1:11" x14ac:dyDescent="0.25">
      <c r="A79" s="249"/>
      <c r="B79" s="249"/>
      <c r="C79" s="249"/>
      <c r="D79" s="249"/>
      <c r="E79" s="249"/>
      <c r="F79" s="249"/>
      <c r="G79" s="249"/>
      <c r="I79" s="249"/>
      <c r="J79" s="249"/>
      <c r="K79" s="249"/>
    </row>
    <row r="80" spans="1:11" x14ac:dyDescent="0.25">
      <c r="A80" s="249"/>
      <c r="B80" s="249"/>
      <c r="C80" s="249"/>
      <c r="D80" s="249"/>
      <c r="E80" s="249"/>
      <c r="F80" s="249"/>
      <c r="G80" s="249"/>
      <c r="I80" s="249"/>
      <c r="J80" s="249"/>
      <c r="K80" s="249"/>
    </row>
    <row r="81" spans="1:11" x14ac:dyDescent="0.25">
      <c r="A81" s="249"/>
      <c r="B81" s="249"/>
      <c r="C81" s="249"/>
      <c r="D81" s="249"/>
      <c r="E81" s="249"/>
      <c r="F81" s="249"/>
      <c r="G81" s="249"/>
      <c r="I81" s="249"/>
      <c r="J81" s="249"/>
      <c r="K81" s="249"/>
    </row>
    <row r="82" spans="1:11" x14ac:dyDescent="0.25">
      <c r="A82" s="249"/>
      <c r="B82" s="249"/>
      <c r="C82" s="249"/>
      <c r="D82" s="249"/>
      <c r="E82" s="249"/>
      <c r="F82" s="249"/>
      <c r="G82" s="249"/>
      <c r="I82" s="249"/>
      <c r="J82" s="249"/>
      <c r="K82" s="249"/>
    </row>
    <row r="83" spans="1:11" x14ac:dyDescent="0.25">
      <c r="A83" s="249"/>
      <c r="B83" s="249"/>
      <c r="C83" s="249"/>
      <c r="D83" s="249"/>
      <c r="E83" s="249"/>
      <c r="F83" s="249"/>
      <c r="G83" s="249"/>
      <c r="I83" s="249"/>
      <c r="J83" s="249"/>
      <c r="K83" s="249"/>
    </row>
    <row r="84" spans="1:11" x14ac:dyDescent="0.25">
      <c r="A84" s="249"/>
      <c r="B84" s="249"/>
      <c r="C84" s="249"/>
      <c r="D84" s="249"/>
      <c r="E84" s="249"/>
      <c r="F84" s="249"/>
      <c r="G84" s="249"/>
      <c r="I84" s="249"/>
      <c r="J84" s="249"/>
      <c r="K84" s="249"/>
    </row>
    <row r="85" spans="1:11" x14ac:dyDescent="0.25">
      <c r="A85" s="249"/>
      <c r="B85" s="249"/>
      <c r="C85" s="249"/>
      <c r="D85" s="249"/>
      <c r="E85" s="249"/>
      <c r="F85" s="249"/>
      <c r="G85" s="249"/>
      <c r="I85" s="249"/>
      <c r="J85" s="249"/>
      <c r="K85" s="249"/>
    </row>
    <row r="86" spans="1:11" x14ac:dyDescent="0.25">
      <c r="A86" s="249"/>
      <c r="B86" s="249"/>
      <c r="C86" s="249"/>
      <c r="D86" s="249"/>
      <c r="E86" s="249"/>
      <c r="F86" s="249"/>
      <c r="G86" s="249"/>
      <c r="I86" s="249"/>
      <c r="J86" s="249"/>
      <c r="K86" s="249"/>
    </row>
    <row r="87" spans="1:11" x14ac:dyDescent="0.25">
      <c r="A87" s="249"/>
      <c r="B87" s="249"/>
      <c r="C87" s="249"/>
      <c r="D87" s="249"/>
      <c r="E87" s="249"/>
      <c r="F87" s="249"/>
      <c r="G87" s="249"/>
      <c r="I87" s="249"/>
      <c r="J87" s="249"/>
      <c r="K87" s="249"/>
    </row>
    <row r="88" spans="1:11" x14ac:dyDescent="0.25">
      <c r="A88" s="249"/>
      <c r="B88" s="249"/>
      <c r="C88" s="249"/>
      <c r="D88" s="249"/>
      <c r="E88" s="249"/>
      <c r="F88" s="249"/>
      <c r="G88" s="249"/>
      <c r="I88" s="249"/>
      <c r="J88" s="249"/>
      <c r="K88" s="249"/>
    </row>
    <row r="89" spans="1:11" x14ac:dyDescent="0.25">
      <c r="A89" s="249"/>
      <c r="B89" s="249"/>
      <c r="C89" s="249"/>
      <c r="D89" s="249"/>
      <c r="E89" s="249"/>
      <c r="F89" s="249"/>
      <c r="G89" s="249"/>
      <c r="I89" s="249"/>
      <c r="J89" s="249"/>
      <c r="K89" s="249"/>
    </row>
    <row r="90" spans="1:11" x14ac:dyDescent="0.25">
      <c r="A90" s="249"/>
      <c r="B90" s="249"/>
      <c r="C90" s="249"/>
      <c r="D90" s="249"/>
      <c r="E90" s="249"/>
      <c r="F90" s="249"/>
      <c r="G90" s="249"/>
      <c r="I90" s="249"/>
      <c r="J90" s="249"/>
      <c r="K90" s="249"/>
    </row>
    <row r="91" spans="1:11" x14ac:dyDescent="0.25">
      <c r="A91" s="249"/>
      <c r="B91" s="249"/>
      <c r="C91" s="249"/>
      <c r="D91" s="249"/>
      <c r="E91" s="249"/>
      <c r="F91" s="249"/>
      <c r="G91" s="249"/>
      <c r="I91" s="249"/>
      <c r="J91" s="249"/>
      <c r="K91" s="249"/>
    </row>
    <row r="92" spans="1:11" x14ac:dyDescent="0.25">
      <c r="A92" s="249"/>
      <c r="B92" s="249"/>
      <c r="C92" s="249"/>
      <c r="D92" s="249"/>
      <c r="E92" s="249"/>
      <c r="F92" s="249"/>
      <c r="G92" s="249"/>
      <c r="I92" s="249"/>
      <c r="J92" s="249"/>
      <c r="K92" s="249"/>
    </row>
    <row r="93" spans="1:11" x14ac:dyDescent="0.25">
      <c r="A93" s="249"/>
      <c r="B93" s="249"/>
      <c r="C93" s="249"/>
      <c r="D93" s="249"/>
      <c r="E93" s="249"/>
      <c r="F93" s="249"/>
      <c r="G93" s="249"/>
      <c r="I93" s="249"/>
      <c r="J93" s="249"/>
      <c r="K93" s="249"/>
    </row>
    <row r="94" spans="1:11" x14ac:dyDescent="0.25">
      <c r="A94" s="249"/>
      <c r="B94" s="249"/>
      <c r="C94" s="249"/>
      <c r="D94" s="249"/>
      <c r="E94" s="249"/>
      <c r="F94" s="249"/>
      <c r="G94" s="249"/>
      <c r="I94" s="249"/>
      <c r="J94" s="249"/>
      <c r="K94" s="249"/>
    </row>
    <row r="95" spans="1:11" x14ac:dyDescent="0.25">
      <c r="A95" s="249"/>
      <c r="B95" s="249"/>
      <c r="C95" s="249"/>
      <c r="D95" s="249"/>
      <c r="E95" s="249"/>
      <c r="F95" s="249"/>
      <c r="G95" s="249"/>
      <c r="I95" s="249"/>
      <c r="J95" s="249"/>
      <c r="K95" s="249"/>
    </row>
    <row r="96" spans="1:11" x14ac:dyDescent="0.25">
      <c r="A96" s="249"/>
      <c r="B96" s="249"/>
      <c r="C96" s="249"/>
      <c r="D96" s="249"/>
      <c r="E96" s="249"/>
      <c r="F96" s="249"/>
      <c r="G96" s="249"/>
      <c r="I96" s="249"/>
      <c r="J96" s="249"/>
      <c r="K96" s="249"/>
    </row>
    <row r="97" spans="1:11" x14ac:dyDescent="0.25">
      <c r="A97" s="249"/>
      <c r="B97" s="249"/>
      <c r="C97" s="249"/>
      <c r="D97" s="249"/>
      <c r="E97" s="249"/>
      <c r="F97" s="249"/>
      <c r="G97" s="249"/>
      <c r="I97" s="249"/>
      <c r="J97" s="249"/>
      <c r="K97" s="249"/>
    </row>
    <row r="98" spans="1:11" x14ac:dyDescent="0.25">
      <c r="A98" s="249"/>
      <c r="B98" s="249"/>
      <c r="C98" s="249"/>
      <c r="D98" s="249"/>
      <c r="E98" s="249"/>
      <c r="F98" s="249"/>
      <c r="G98" s="249"/>
      <c r="I98" s="249"/>
      <c r="J98" s="249"/>
      <c r="K98" s="249"/>
    </row>
    <row r="99" spans="1:11" x14ac:dyDescent="0.25">
      <c r="A99" s="249"/>
      <c r="B99" s="249"/>
      <c r="C99" s="249"/>
      <c r="D99" s="249"/>
      <c r="E99" s="249"/>
      <c r="F99" s="249"/>
      <c r="G99" s="249"/>
      <c r="I99" s="249"/>
      <c r="J99" s="249"/>
      <c r="K99" s="249"/>
    </row>
    <row r="100" spans="1:11" x14ac:dyDescent="0.25">
      <c r="A100" s="249"/>
      <c r="B100" s="249"/>
      <c r="C100" s="249"/>
      <c r="D100" s="249"/>
      <c r="E100" s="249"/>
      <c r="F100" s="249"/>
      <c r="G100" s="249"/>
      <c r="I100" s="249"/>
      <c r="J100" s="249"/>
      <c r="K100" s="249"/>
    </row>
    <row r="101" spans="1:11" x14ac:dyDescent="0.25">
      <c r="A101" s="249"/>
      <c r="B101" s="249"/>
      <c r="C101" s="249"/>
      <c r="D101" s="249"/>
      <c r="E101" s="249"/>
      <c r="F101" s="249"/>
      <c r="G101" s="249"/>
      <c r="I101" s="249"/>
      <c r="J101" s="249"/>
      <c r="K101" s="249"/>
    </row>
    <row r="102" spans="1:11" x14ac:dyDescent="0.25">
      <c r="A102" s="249"/>
      <c r="B102" s="249"/>
      <c r="C102" s="249"/>
      <c r="D102" s="249"/>
      <c r="E102" s="249"/>
      <c r="F102" s="249"/>
      <c r="G102" s="249"/>
      <c r="I102" s="249"/>
      <c r="J102" s="249"/>
      <c r="K102" s="249"/>
    </row>
    <row r="103" spans="1:11" x14ac:dyDescent="0.25">
      <c r="A103" s="249"/>
      <c r="B103" s="249"/>
      <c r="C103" s="249"/>
      <c r="D103" s="249"/>
      <c r="E103" s="249"/>
      <c r="F103" s="249"/>
      <c r="G103" s="249"/>
      <c r="I103" s="249"/>
      <c r="J103" s="249"/>
      <c r="K103" s="249"/>
    </row>
    <row r="104" spans="1:11" x14ac:dyDescent="0.25">
      <c r="A104" s="249"/>
      <c r="B104" s="249"/>
      <c r="C104" s="249"/>
      <c r="D104" s="249"/>
      <c r="E104" s="249"/>
      <c r="F104" s="249"/>
      <c r="G104" s="249"/>
      <c r="I104" s="249"/>
      <c r="J104" s="249"/>
      <c r="K104" s="249"/>
    </row>
    <row r="105" spans="1:11" x14ac:dyDescent="0.25">
      <c r="A105" s="249"/>
      <c r="B105" s="249"/>
      <c r="C105" s="249"/>
      <c r="D105" s="249"/>
      <c r="E105" s="249"/>
      <c r="F105" s="249"/>
      <c r="G105" s="249"/>
      <c r="I105" s="249"/>
      <c r="J105" s="249"/>
      <c r="K105" s="249"/>
    </row>
    <row r="106" spans="1:11" x14ac:dyDescent="0.25">
      <c r="A106" s="249"/>
      <c r="B106" s="249"/>
      <c r="C106" s="249"/>
      <c r="D106" s="249"/>
      <c r="E106" s="249"/>
      <c r="F106" s="249"/>
      <c r="G106" s="249"/>
      <c r="I106" s="249"/>
      <c r="J106" s="249"/>
      <c r="K106" s="249"/>
    </row>
    <row r="107" spans="1:11" x14ac:dyDescent="0.25">
      <c r="A107" s="249"/>
      <c r="B107" s="249"/>
      <c r="C107" s="249"/>
      <c r="D107" s="249"/>
      <c r="E107" s="249"/>
      <c r="F107" s="249"/>
      <c r="G107" s="249"/>
      <c r="I107" s="249"/>
      <c r="J107" s="249"/>
      <c r="K107" s="249"/>
    </row>
    <row r="108" spans="1:11" x14ac:dyDescent="0.25">
      <c r="A108" s="249"/>
      <c r="B108" s="249"/>
      <c r="C108" s="249"/>
      <c r="D108" s="249"/>
      <c r="E108" s="249"/>
      <c r="F108" s="249"/>
      <c r="G108" s="249"/>
      <c r="I108" s="249"/>
      <c r="J108" s="249"/>
      <c r="K108" s="249"/>
    </row>
    <row r="109" spans="1:11" x14ac:dyDescent="0.25">
      <c r="A109" s="249"/>
      <c r="B109" s="249"/>
      <c r="C109" s="249"/>
      <c r="D109" s="249"/>
      <c r="E109" s="249"/>
      <c r="F109" s="249"/>
      <c r="G109" s="249"/>
      <c r="I109" s="249"/>
      <c r="J109" s="249"/>
      <c r="K109" s="249"/>
    </row>
    <row r="110" spans="1:11" x14ac:dyDescent="0.25">
      <c r="A110" s="249"/>
      <c r="B110" s="249"/>
      <c r="C110" s="249"/>
      <c r="D110" s="249"/>
      <c r="E110" s="249"/>
      <c r="F110" s="249"/>
      <c r="G110" s="249"/>
      <c r="I110" s="249"/>
      <c r="J110" s="249"/>
      <c r="K110" s="249"/>
    </row>
    <row r="111" spans="1:11" x14ac:dyDescent="0.25">
      <c r="A111" s="249"/>
      <c r="B111" s="249"/>
      <c r="C111" s="249"/>
      <c r="D111" s="249"/>
      <c r="E111" s="249"/>
      <c r="F111" s="249"/>
      <c r="G111" s="249"/>
      <c r="I111" s="249"/>
      <c r="J111" s="249"/>
      <c r="K111" s="249"/>
    </row>
    <row r="112" spans="1:11" x14ac:dyDescent="0.25">
      <c r="A112" s="249"/>
      <c r="B112" s="249"/>
      <c r="C112" s="249"/>
      <c r="D112" s="249"/>
      <c r="E112" s="249"/>
      <c r="F112" s="249"/>
      <c r="G112" s="249"/>
      <c r="I112" s="249"/>
      <c r="J112" s="249"/>
      <c r="K112" s="249"/>
    </row>
    <row r="113" spans="1:11" x14ac:dyDescent="0.25">
      <c r="A113" s="249"/>
      <c r="B113" s="249"/>
      <c r="C113" s="249"/>
      <c r="D113" s="249"/>
      <c r="E113" s="249"/>
      <c r="F113" s="249"/>
      <c r="G113" s="249"/>
      <c r="I113" s="249"/>
      <c r="J113" s="249"/>
      <c r="K113" s="249"/>
    </row>
    <row r="114" spans="1:11" x14ac:dyDescent="0.25">
      <c r="A114" s="249"/>
      <c r="B114" s="249"/>
      <c r="C114" s="249"/>
      <c r="D114" s="249"/>
      <c r="E114" s="249"/>
      <c r="F114" s="249"/>
      <c r="G114" s="249"/>
      <c r="I114" s="249"/>
      <c r="J114" s="249"/>
      <c r="K114" s="249"/>
    </row>
    <row r="115" spans="1:11" x14ac:dyDescent="0.25">
      <c r="A115" s="249"/>
      <c r="B115" s="249"/>
      <c r="C115" s="249"/>
      <c r="D115" s="249"/>
      <c r="E115" s="249"/>
      <c r="F115" s="249"/>
      <c r="G115" s="249"/>
      <c r="I115" s="249"/>
      <c r="J115" s="249"/>
      <c r="K115" s="249"/>
    </row>
    <row r="116" spans="1:11" x14ac:dyDescent="0.25">
      <c r="A116" s="249"/>
      <c r="B116" s="249"/>
      <c r="C116" s="249"/>
      <c r="D116" s="249"/>
      <c r="E116" s="249"/>
      <c r="F116" s="249"/>
      <c r="G116" s="249"/>
      <c r="I116" s="249"/>
      <c r="J116" s="249"/>
      <c r="K116" s="249"/>
    </row>
    <row r="117" spans="1:11" x14ac:dyDescent="0.25">
      <c r="A117" s="249"/>
      <c r="B117" s="249"/>
      <c r="C117" s="249"/>
      <c r="D117" s="249"/>
      <c r="E117" s="249"/>
      <c r="F117" s="249"/>
      <c r="G117" s="249"/>
      <c r="I117" s="249"/>
      <c r="J117" s="249"/>
      <c r="K117" s="249"/>
    </row>
    <row r="118" spans="1:11" x14ac:dyDescent="0.25">
      <c r="A118" s="249"/>
      <c r="B118" s="249"/>
      <c r="C118" s="249"/>
      <c r="D118" s="249"/>
      <c r="E118" s="249"/>
      <c r="F118" s="249"/>
      <c r="G118" s="249"/>
      <c r="I118" s="249"/>
      <c r="J118" s="249"/>
      <c r="K118" s="249"/>
    </row>
    <row r="119" spans="1:11" x14ac:dyDescent="0.25">
      <c r="A119" s="249"/>
      <c r="B119" s="249"/>
      <c r="C119" s="249"/>
      <c r="D119" s="249"/>
      <c r="E119" s="249"/>
      <c r="F119" s="249"/>
      <c r="G119" s="249"/>
      <c r="I119" s="249"/>
      <c r="J119" s="249"/>
      <c r="K119" s="249"/>
    </row>
    <row r="120" spans="1:11" x14ac:dyDescent="0.25">
      <c r="A120" s="249"/>
      <c r="B120" s="249"/>
      <c r="C120" s="249"/>
      <c r="D120" s="249"/>
      <c r="E120" s="249"/>
      <c r="F120" s="249"/>
      <c r="G120" s="249"/>
      <c r="I120" s="249"/>
      <c r="J120" s="249"/>
      <c r="K120" s="249"/>
    </row>
    <row r="121" spans="1:11" x14ac:dyDescent="0.25">
      <c r="A121" s="249"/>
      <c r="B121" s="249"/>
      <c r="C121" s="249"/>
      <c r="D121" s="249"/>
      <c r="E121" s="249"/>
      <c r="F121" s="249"/>
      <c r="G121" s="249"/>
      <c r="I121" s="249"/>
      <c r="J121" s="249"/>
      <c r="K121" s="249"/>
    </row>
    <row r="122" spans="1:11" x14ac:dyDescent="0.25">
      <c r="A122" s="249"/>
      <c r="B122" s="249"/>
      <c r="C122" s="249"/>
      <c r="D122" s="249"/>
      <c r="E122" s="249"/>
      <c r="F122" s="249"/>
      <c r="G122" s="249"/>
      <c r="I122" s="249"/>
      <c r="J122" s="249"/>
      <c r="K122" s="249"/>
    </row>
    <row r="123" spans="1:11" x14ac:dyDescent="0.25">
      <c r="A123" s="249"/>
      <c r="B123" s="249"/>
      <c r="C123" s="249"/>
      <c r="D123" s="249"/>
      <c r="E123" s="249"/>
      <c r="F123" s="249"/>
      <c r="G123" s="249"/>
      <c r="I123" s="249"/>
      <c r="J123" s="249"/>
      <c r="K123" s="249"/>
    </row>
    <row r="124" spans="1:11" x14ac:dyDescent="0.25">
      <c r="A124" s="249"/>
      <c r="B124" s="249"/>
      <c r="C124" s="249"/>
      <c r="D124" s="249"/>
      <c r="E124" s="249"/>
      <c r="F124" s="249"/>
      <c r="G124" s="249"/>
      <c r="I124" s="249"/>
      <c r="J124" s="249"/>
      <c r="K124" s="249"/>
    </row>
    <row r="125" spans="1:11" x14ac:dyDescent="0.25">
      <c r="A125" s="249"/>
      <c r="B125" s="249"/>
      <c r="C125" s="249"/>
      <c r="D125" s="249"/>
      <c r="E125" s="249"/>
      <c r="F125" s="249"/>
      <c r="G125" s="249"/>
      <c r="I125" s="249"/>
      <c r="J125" s="249"/>
      <c r="K125" s="249"/>
    </row>
    <row r="126" spans="1:11" x14ac:dyDescent="0.25">
      <c r="A126" s="249"/>
      <c r="B126" s="249"/>
      <c r="C126" s="249"/>
      <c r="D126" s="249"/>
      <c r="E126" s="249"/>
      <c r="F126" s="249"/>
      <c r="G126" s="249"/>
      <c r="I126" s="249"/>
      <c r="J126" s="249"/>
      <c r="K126" s="249"/>
    </row>
    <row r="127" spans="1:11" x14ac:dyDescent="0.25">
      <c r="A127" s="249"/>
      <c r="B127" s="249"/>
      <c r="C127" s="249"/>
      <c r="D127" s="249"/>
      <c r="E127" s="249"/>
      <c r="F127" s="249"/>
      <c r="G127" s="249"/>
      <c r="I127" s="249"/>
      <c r="J127" s="249"/>
      <c r="K127" s="249"/>
    </row>
    <row r="128" spans="1:11" x14ac:dyDescent="0.25">
      <c r="A128" s="249"/>
      <c r="B128" s="249"/>
      <c r="C128" s="249"/>
      <c r="D128" s="249"/>
      <c r="E128" s="249"/>
      <c r="F128" s="249"/>
      <c r="G128" s="249"/>
      <c r="I128" s="249"/>
      <c r="J128" s="249"/>
      <c r="K128" s="249"/>
    </row>
    <row r="129" spans="1:11" x14ac:dyDescent="0.25">
      <c r="A129" s="249"/>
      <c r="B129" s="249"/>
      <c r="C129" s="249"/>
      <c r="D129" s="249"/>
      <c r="E129" s="249"/>
      <c r="F129" s="249"/>
      <c r="G129" s="249"/>
      <c r="I129" s="249"/>
      <c r="J129" s="249"/>
      <c r="K129" s="249"/>
    </row>
    <row r="130" spans="1:11" x14ac:dyDescent="0.25">
      <c r="A130" s="249"/>
      <c r="B130" s="249"/>
      <c r="C130" s="249"/>
      <c r="D130" s="249"/>
      <c r="E130" s="249"/>
      <c r="F130" s="249"/>
      <c r="G130" s="249"/>
      <c r="I130" s="249"/>
      <c r="J130" s="249"/>
      <c r="K130" s="249"/>
    </row>
    <row r="131" spans="1:11" x14ac:dyDescent="0.25">
      <c r="A131" s="249"/>
      <c r="B131" s="249"/>
      <c r="C131" s="249"/>
      <c r="D131" s="249"/>
      <c r="E131" s="249"/>
      <c r="F131" s="249"/>
      <c r="G131" s="249"/>
      <c r="I131" s="249"/>
      <c r="J131" s="249"/>
      <c r="K131" s="249"/>
    </row>
    <row r="132" spans="1:11" x14ac:dyDescent="0.25">
      <c r="A132" s="249"/>
      <c r="B132" s="249"/>
      <c r="C132" s="249"/>
      <c r="D132" s="249"/>
      <c r="E132" s="249"/>
      <c r="F132" s="249"/>
      <c r="G132" s="249"/>
      <c r="I132" s="249"/>
      <c r="J132" s="249"/>
      <c r="K132" s="249"/>
    </row>
    <row r="133" spans="1:11" x14ac:dyDescent="0.25">
      <c r="A133" s="249"/>
      <c r="B133" s="249"/>
      <c r="C133" s="249"/>
      <c r="D133" s="249"/>
      <c r="E133" s="249"/>
      <c r="F133" s="249"/>
      <c r="G133" s="249"/>
      <c r="I133" s="249"/>
      <c r="J133" s="249"/>
      <c r="K133" s="249"/>
    </row>
    <row r="134" spans="1:11" x14ac:dyDescent="0.25">
      <c r="A134" s="249"/>
      <c r="B134" s="249"/>
      <c r="C134" s="249"/>
      <c r="D134" s="249"/>
      <c r="E134" s="249"/>
      <c r="F134" s="249"/>
      <c r="G134" s="249"/>
      <c r="I134" s="249"/>
      <c r="J134" s="249"/>
      <c r="K134" s="249"/>
    </row>
    <row r="135" spans="1:11" x14ac:dyDescent="0.25">
      <c r="A135" s="249"/>
      <c r="B135" s="249"/>
      <c r="C135" s="249"/>
      <c r="D135" s="249"/>
      <c r="E135" s="249"/>
      <c r="F135" s="249"/>
      <c r="G135" s="249"/>
      <c r="I135" s="249"/>
      <c r="J135" s="249"/>
      <c r="K135" s="249"/>
    </row>
    <row r="136" spans="1:11" x14ac:dyDescent="0.25">
      <c r="A136" s="249"/>
      <c r="B136" s="249"/>
      <c r="C136" s="249"/>
      <c r="D136" s="249"/>
      <c r="E136" s="249"/>
      <c r="F136" s="249"/>
      <c r="G136" s="249"/>
      <c r="I136" s="249"/>
      <c r="J136" s="249"/>
      <c r="K136" s="249"/>
    </row>
    <row r="137" spans="1:11" x14ac:dyDescent="0.25">
      <c r="A137" s="249"/>
      <c r="B137" s="249"/>
      <c r="C137" s="249"/>
      <c r="D137" s="249"/>
      <c r="E137" s="249"/>
      <c r="F137" s="249"/>
      <c r="G137" s="249"/>
      <c r="I137" s="249"/>
      <c r="J137" s="249"/>
      <c r="K137" s="249"/>
    </row>
    <row r="138" spans="1:11" x14ac:dyDescent="0.25">
      <c r="A138" s="249"/>
      <c r="B138" s="249"/>
      <c r="C138" s="249"/>
      <c r="D138" s="249"/>
      <c r="E138" s="249"/>
      <c r="F138" s="249"/>
      <c r="G138" s="249"/>
      <c r="I138" s="249"/>
      <c r="J138" s="249"/>
      <c r="K138" s="249"/>
    </row>
    <row r="139" spans="1:11" x14ac:dyDescent="0.25">
      <c r="A139" s="249"/>
      <c r="B139" s="249"/>
      <c r="C139" s="249"/>
      <c r="D139" s="249"/>
      <c r="E139" s="249"/>
      <c r="F139" s="249"/>
      <c r="G139" s="249"/>
      <c r="I139" s="249"/>
      <c r="J139" s="249"/>
      <c r="K139" s="249"/>
    </row>
    <row r="140" spans="1:11" x14ac:dyDescent="0.25">
      <c r="A140" s="249"/>
      <c r="B140" s="249"/>
      <c r="C140" s="249"/>
      <c r="D140" s="249"/>
      <c r="E140" s="249"/>
      <c r="F140" s="249"/>
      <c r="G140" s="249"/>
      <c r="I140" s="249"/>
      <c r="J140" s="249"/>
      <c r="K140" s="249"/>
    </row>
    <row r="141" spans="1:11" x14ac:dyDescent="0.25">
      <c r="A141" s="249"/>
      <c r="B141" s="249"/>
      <c r="C141" s="249"/>
      <c r="D141" s="249"/>
      <c r="E141" s="249"/>
      <c r="F141" s="249"/>
      <c r="G141" s="249"/>
      <c r="I141" s="249"/>
      <c r="J141" s="249"/>
      <c r="K141" s="249"/>
    </row>
    <row r="142" spans="1:11" x14ac:dyDescent="0.25">
      <c r="A142" s="249"/>
      <c r="B142" s="249"/>
      <c r="C142" s="249"/>
      <c r="D142" s="249"/>
      <c r="E142" s="249"/>
      <c r="F142" s="249"/>
      <c r="G142" s="249"/>
      <c r="I142" s="249"/>
      <c r="J142" s="249"/>
      <c r="K142" s="249"/>
    </row>
    <row r="143" spans="1:11" x14ac:dyDescent="0.25">
      <c r="A143" s="249"/>
      <c r="B143" s="249"/>
      <c r="C143" s="249"/>
      <c r="D143" s="249"/>
      <c r="E143" s="249"/>
      <c r="F143" s="249"/>
      <c r="G143" s="249"/>
      <c r="I143" s="249"/>
      <c r="J143" s="249"/>
      <c r="K143" s="249"/>
    </row>
    <row r="144" spans="1:11" x14ac:dyDescent="0.25">
      <c r="A144" s="249"/>
      <c r="B144" s="249"/>
      <c r="C144" s="249"/>
      <c r="D144" s="249"/>
      <c r="E144" s="249"/>
      <c r="F144" s="249"/>
      <c r="G144" s="249"/>
      <c r="I144" s="249"/>
      <c r="J144" s="249"/>
      <c r="K144" s="249"/>
    </row>
    <row r="145" spans="1:11" x14ac:dyDescent="0.25">
      <c r="A145" s="249"/>
      <c r="B145" s="249"/>
      <c r="C145" s="249"/>
      <c r="D145" s="249"/>
      <c r="E145" s="249"/>
      <c r="F145" s="249"/>
      <c r="G145" s="249"/>
      <c r="I145" s="249"/>
      <c r="J145" s="249"/>
      <c r="K145" s="249"/>
    </row>
    <row r="146" spans="1:11" x14ac:dyDescent="0.25">
      <c r="A146" s="249"/>
      <c r="B146" s="249"/>
      <c r="C146" s="249"/>
      <c r="D146" s="249"/>
      <c r="E146" s="249"/>
      <c r="F146" s="249"/>
      <c r="G146" s="249"/>
      <c r="I146" s="249"/>
      <c r="J146" s="249"/>
      <c r="K146" s="249"/>
    </row>
    <row r="147" spans="1:11" x14ac:dyDescent="0.25">
      <c r="A147" s="249"/>
      <c r="B147" s="249"/>
      <c r="C147" s="249"/>
      <c r="D147" s="249"/>
      <c r="E147" s="249"/>
      <c r="F147" s="249"/>
      <c r="G147" s="249"/>
      <c r="I147" s="249"/>
      <c r="J147" s="249"/>
      <c r="K147" s="249"/>
    </row>
    <row r="148" spans="1:11" x14ac:dyDescent="0.25">
      <c r="A148" s="249"/>
      <c r="B148" s="249"/>
      <c r="C148" s="249"/>
      <c r="D148" s="249"/>
      <c r="E148" s="249"/>
      <c r="F148" s="249"/>
      <c r="G148" s="249"/>
      <c r="I148" s="249"/>
      <c r="J148" s="249"/>
      <c r="K148" s="249"/>
    </row>
    <row r="149" spans="1:11" x14ac:dyDescent="0.25">
      <c r="A149" s="249"/>
      <c r="B149" s="249"/>
      <c r="C149" s="249"/>
      <c r="D149" s="249"/>
      <c r="E149" s="249"/>
      <c r="F149" s="249"/>
      <c r="G149" s="249"/>
      <c r="I149" s="249"/>
      <c r="J149" s="249"/>
      <c r="K149" s="249"/>
    </row>
    <row r="150" spans="1:11" x14ac:dyDescent="0.25">
      <c r="A150" s="249"/>
      <c r="B150" s="249"/>
      <c r="C150" s="249"/>
      <c r="D150" s="249"/>
      <c r="E150" s="249"/>
      <c r="F150" s="249"/>
      <c r="G150" s="249"/>
      <c r="I150" s="249"/>
      <c r="J150" s="249"/>
      <c r="K150" s="249"/>
    </row>
    <row r="151" spans="1:11" x14ac:dyDescent="0.25">
      <c r="A151" s="249"/>
      <c r="B151" s="249"/>
      <c r="C151" s="249"/>
      <c r="D151" s="249"/>
      <c r="E151" s="249"/>
      <c r="F151" s="249"/>
      <c r="G151" s="249"/>
      <c r="I151" s="249"/>
      <c r="J151" s="249"/>
      <c r="K151" s="249"/>
    </row>
    <row r="152" spans="1:11" x14ac:dyDescent="0.25">
      <c r="A152" s="249"/>
      <c r="B152" s="249"/>
      <c r="C152" s="249"/>
      <c r="D152" s="249"/>
      <c r="E152" s="249"/>
      <c r="F152" s="249"/>
      <c r="G152" s="249"/>
      <c r="I152" s="249"/>
      <c r="J152" s="249"/>
      <c r="K152" s="249"/>
    </row>
    <row r="153" spans="1:11" x14ac:dyDescent="0.25">
      <c r="A153" s="249"/>
      <c r="B153" s="249"/>
      <c r="C153" s="249"/>
      <c r="D153" s="249"/>
      <c r="E153" s="249"/>
      <c r="F153" s="249"/>
      <c r="G153" s="249"/>
      <c r="I153" s="249"/>
      <c r="J153" s="249"/>
      <c r="K153" s="249"/>
    </row>
    <row r="154" spans="1:11" x14ac:dyDescent="0.25">
      <c r="A154" s="249"/>
      <c r="B154" s="249"/>
      <c r="C154" s="249"/>
      <c r="D154" s="249"/>
      <c r="E154" s="249"/>
      <c r="F154" s="249"/>
      <c r="G154" s="249"/>
      <c r="I154" s="249"/>
      <c r="J154" s="249"/>
      <c r="K154" s="249"/>
    </row>
    <row r="155" spans="1:11" x14ac:dyDescent="0.25">
      <c r="A155" s="249"/>
      <c r="B155" s="249"/>
      <c r="C155" s="249"/>
      <c r="D155" s="249"/>
      <c r="E155" s="249"/>
      <c r="F155" s="249"/>
      <c r="G155" s="249"/>
      <c r="I155" s="249"/>
      <c r="J155" s="249"/>
      <c r="K155" s="249"/>
    </row>
    <row r="156" spans="1:11" x14ac:dyDescent="0.25">
      <c r="A156" s="249"/>
      <c r="B156" s="249"/>
      <c r="C156" s="249"/>
      <c r="D156" s="249"/>
      <c r="E156" s="249"/>
      <c r="F156" s="249"/>
      <c r="G156" s="249"/>
      <c r="I156" s="249"/>
      <c r="J156" s="249"/>
      <c r="K156" s="249"/>
    </row>
    <row r="157" spans="1:11" x14ac:dyDescent="0.25">
      <c r="A157" s="249"/>
      <c r="B157" s="249"/>
      <c r="C157" s="249"/>
      <c r="D157" s="249"/>
      <c r="E157" s="249"/>
      <c r="F157" s="249"/>
      <c r="G157" s="249"/>
      <c r="I157" s="249"/>
      <c r="J157" s="249"/>
      <c r="K157" s="249"/>
    </row>
    <row r="158" spans="1:11" x14ac:dyDescent="0.25">
      <c r="A158" s="249"/>
      <c r="B158" s="249"/>
      <c r="C158" s="249"/>
      <c r="D158" s="249"/>
      <c r="E158" s="249"/>
      <c r="F158" s="249"/>
      <c r="G158" s="249"/>
      <c r="I158" s="249"/>
      <c r="J158" s="249"/>
      <c r="K158" s="249"/>
    </row>
    <row r="159" spans="1:11" x14ac:dyDescent="0.25">
      <c r="A159" s="249"/>
      <c r="B159" s="249"/>
      <c r="C159" s="249"/>
      <c r="D159" s="249"/>
      <c r="E159" s="249"/>
      <c r="F159" s="249"/>
      <c r="G159" s="249"/>
      <c r="I159" s="249"/>
      <c r="J159" s="249"/>
      <c r="K159" s="249"/>
    </row>
    <row r="160" spans="1:11" x14ac:dyDescent="0.25">
      <c r="A160" s="249"/>
      <c r="B160" s="249"/>
      <c r="C160" s="249"/>
      <c r="D160" s="249"/>
      <c r="E160" s="249"/>
      <c r="F160" s="249"/>
      <c r="G160" s="249"/>
      <c r="I160" s="249"/>
      <c r="J160" s="249"/>
      <c r="K160" s="249"/>
    </row>
    <row r="161" spans="1:11" x14ac:dyDescent="0.25">
      <c r="A161" s="249"/>
      <c r="B161" s="249"/>
      <c r="C161" s="249"/>
      <c r="D161" s="249"/>
      <c r="E161" s="249"/>
      <c r="F161" s="249"/>
      <c r="G161" s="249"/>
      <c r="I161" s="249"/>
      <c r="J161" s="249"/>
      <c r="K161" s="249"/>
    </row>
    <row r="162" spans="1:11" x14ac:dyDescent="0.25">
      <c r="A162" s="249"/>
      <c r="B162" s="249"/>
      <c r="C162" s="249"/>
      <c r="D162" s="249"/>
      <c r="E162" s="249"/>
      <c r="F162" s="249"/>
      <c r="G162" s="249"/>
      <c r="I162" s="249"/>
      <c r="J162" s="249"/>
      <c r="K162" s="249"/>
    </row>
    <row r="163" spans="1:11" x14ac:dyDescent="0.25">
      <c r="A163" s="249"/>
      <c r="B163" s="249"/>
      <c r="C163" s="249"/>
      <c r="D163" s="249"/>
      <c r="E163" s="249"/>
      <c r="F163" s="249"/>
      <c r="G163" s="249"/>
      <c r="I163" s="249"/>
      <c r="J163" s="249"/>
      <c r="K163" s="249"/>
    </row>
    <row r="164" spans="1:11" x14ac:dyDescent="0.25">
      <c r="A164" s="249"/>
      <c r="B164" s="249"/>
      <c r="C164" s="249"/>
      <c r="D164" s="249"/>
      <c r="E164" s="249"/>
      <c r="F164" s="249"/>
      <c r="G164" s="249"/>
      <c r="I164" s="249"/>
      <c r="J164" s="249"/>
      <c r="K164" s="249"/>
    </row>
    <row r="165" spans="1:11" x14ac:dyDescent="0.25">
      <c r="A165" s="249"/>
      <c r="B165" s="249"/>
      <c r="C165" s="249"/>
      <c r="D165" s="249"/>
      <c r="E165" s="249"/>
      <c r="F165" s="249"/>
      <c r="G165" s="249"/>
      <c r="I165" s="249"/>
      <c r="J165" s="249"/>
      <c r="K165" s="249"/>
    </row>
    <row r="166" spans="1:11" x14ac:dyDescent="0.25">
      <c r="A166" s="249"/>
      <c r="B166" s="249"/>
      <c r="C166" s="249"/>
      <c r="D166" s="249"/>
      <c r="E166" s="249"/>
      <c r="F166" s="249"/>
      <c r="G166" s="249"/>
      <c r="I166" s="249"/>
      <c r="J166" s="249"/>
      <c r="K166" s="249"/>
    </row>
    <row r="167" spans="1:11" x14ac:dyDescent="0.25">
      <c r="A167" s="249"/>
      <c r="B167" s="249"/>
      <c r="C167" s="249"/>
      <c r="D167" s="249"/>
      <c r="E167" s="249"/>
      <c r="F167" s="249"/>
      <c r="G167" s="249"/>
      <c r="I167" s="249"/>
      <c r="J167" s="249"/>
      <c r="K167" s="249"/>
    </row>
    <row r="168" spans="1:11" x14ac:dyDescent="0.25">
      <c r="A168" s="249"/>
      <c r="B168" s="249"/>
      <c r="C168" s="249"/>
      <c r="D168" s="249"/>
      <c r="E168" s="249"/>
      <c r="F168" s="249"/>
      <c r="G168" s="249"/>
      <c r="I168" s="249"/>
      <c r="J168" s="249"/>
      <c r="K168" s="249"/>
    </row>
    <row r="169" spans="1:11" x14ac:dyDescent="0.25">
      <c r="A169" s="249"/>
      <c r="B169" s="249"/>
      <c r="C169" s="249"/>
      <c r="D169" s="249"/>
      <c r="E169" s="249"/>
      <c r="F169" s="249"/>
      <c r="G169" s="249"/>
      <c r="I169" s="249"/>
      <c r="J169" s="249"/>
      <c r="K169" s="249"/>
    </row>
    <row r="170" spans="1:11" x14ac:dyDescent="0.25">
      <c r="A170" s="249"/>
      <c r="B170" s="249"/>
      <c r="C170" s="249"/>
      <c r="D170" s="249"/>
      <c r="E170" s="249"/>
      <c r="F170" s="249"/>
      <c r="G170" s="249"/>
      <c r="I170" s="249"/>
      <c r="J170" s="249"/>
      <c r="K170" s="249"/>
    </row>
    <row r="171" spans="1:11" x14ac:dyDescent="0.25">
      <c r="A171" s="249"/>
      <c r="B171" s="249"/>
      <c r="C171" s="249"/>
      <c r="D171" s="249"/>
      <c r="E171" s="249"/>
      <c r="F171" s="249"/>
      <c r="G171" s="249"/>
      <c r="I171" s="249"/>
      <c r="J171" s="249"/>
      <c r="K171" s="249"/>
    </row>
    <row r="172" spans="1:11" x14ac:dyDescent="0.25">
      <c r="A172" s="249"/>
      <c r="B172" s="249"/>
      <c r="C172" s="249"/>
      <c r="D172" s="249"/>
      <c r="E172" s="249"/>
      <c r="F172" s="249"/>
      <c r="G172" s="249"/>
      <c r="I172" s="249"/>
      <c r="J172" s="249"/>
      <c r="K172" s="249"/>
    </row>
    <row r="173" spans="1:11" x14ac:dyDescent="0.25">
      <c r="A173" s="249"/>
      <c r="B173" s="249"/>
      <c r="C173" s="249"/>
      <c r="D173" s="249"/>
      <c r="E173" s="249"/>
      <c r="F173" s="249"/>
      <c r="G173" s="249"/>
      <c r="I173" s="249"/>
      <c r="J173" s="249"/>
      <c r="K173" s="249"/>
    </row>
    <row r="174" spans="1:11" x14ac:dyDescent="0.25">
      <c r="A174" s="249"/>
      <c r="B174" s="249"/>
      <c r="C174" s="249"/>
      <c r="D174" s="249"/>
      <c r="E174" s="249"/>
      <c r="F174" s="249"/>
      <c r="G174" s="249"/>
      <c r="I174" s="249"/>
      <c r="J174" s="249"/>
      <c r="K174" s="249"/>
    </row>
    <row r="175" spans="1:11" x14ac:dyDescent="0.25">
      <c r="A175" s="249"/>
      <c r="B175" s="249"/>
      <c r="C175" s="249"/>
      <c r="D175" s="249"/>
      <c r="E175" s="249"/>
      <c r="F175" s="249"/>
      <c r="G175" s="249"/>
      <c r="I175" s="249"/>
      <c r="J175" s="249"/>
      <c r="K175" s="249"/>
    </row>
    <row r="176" spans="1:11" x14ac:dyDescent="0.25">
      <c r="A176" s="249"/>
      <c r="B176" s="249"/>
      <c r="C176" s="249"/>
      <c r="D176" s="249"/>
      <c r="E176" s="249"/>
      <c r="F176" s="249"/>
      <c r="G176" s="249"/>
      <c r="I176" s="249"/>
      <c r="J176" s="249"/>
      <c r="K176" s="249"/>
    </row>
    <row r="177" spans="1:11" x14ac:dyDescent="0.25">
      <c r="A177" s="249"/>
      <c r="B177" s="249"/>
      <c r="C177" s="249"/>
      <c r="D177" s="249"/>
      <c r="E177" s="249"/>
      <c r="F177" s="249"/>
      <c r="G177" s="249"/>
      <c r="I177" s="249"/>
      <c r="J177" s="249"/>
      <c r="K177" s="249"/>
    </row>
    <row r="178" spans="1:11" x14ac:dyDescent="0.25">
      <c r="A178" s="249"/>
      <c r="B178" s="249"/>
      <c r="C178" s="249"/>
      <c r="D178" s="249"/>
      <c r="E178" s="249"/>
      <c r="F178" s="249"/>
      <c r="G178" s="249"/>
      <c r="I178" s="249"/>
      <c r="J178" s="249"/>
      <c r="K178" s="249"/>
    </row>
    <row r="179" spans="1:11" x14ac:dyDescent="0.25">
      <c r="A179" s="249"/>
      <c r="B179" s="249"/>
      <c r="C179" s="249"/>
      <c r="D179" s="249"/>
      <c r="E179" s="249"/>
      <c r="F179" s="249"/>
      <c r="G179" s="249"/>
      <c r="I179" s="249"/>
      <c r="J179" s="249"/>
      <c r="K179" s="249"/>
    </row>
    <row r="180" spans="1:11" x14ac:dyDescent="0.25">
      <c r="A180" s="249"/>
      <c r="B180" s="249"/>
      <c r="C180" s="249"/>
      <c r="D180" s="249"/>
      <c r="E180" s="249"/>
      <c r="F180" s="249"/>
      <c r="G180" s="249"/>
      <c r="I180" s="249"/>
      <c r="J180" s="249"/>
      <c r="K180" s="249"/>
    </row>
    <row r="181" spans="1:11" x14ac:dyDescent="0.25">
      <c r="A181" s="249"/>
      <c r="B181" s="249"/>
      <c r="C181" s="249"/>
      <c r="D181" s="249"/>
      <c r="E181" s="249"/>
      <c r="F181" s="249"/>
      <c r="G181" s="249"/>
      <c r="I181" s="249"/>
      <c r="J181" s="249"/>
      <c r="K181" s="249"/>
    </row>
    <row r="182" spans="1:11" x14ac:dyDescent="0.25">
      <c r="A182" s="249"/>
      <c r="B182" s="249"/>
      <c r="C182" s="249"/>
      <c r="D182" s="249"/>
      <c r="E182" s="249"/>
      <c r="F182" s="249"/>
      <c r="G182" s="249"/>
      <c r="I182" s="249"/>
      <c r="J182" s="249"/>
      <c r="K182" s="249"/>
    </row>
    <row r="183" spans="1:11" x14ac:dyDescent="0.25">
      <c r="A183" s="249"/>
      <c r="B183" s="249"/>
      <c r="C183" s="249"/>
      <c r="D183" s="249"/>
      <c r="E183" s="249"/>
      <c r="F183" s="249"/>
      <c r="G183" s="249"/>
      <c r="I183" s="249"/>
      <c r="J183" s="249"/>
      <c r="K183" s="249"/>
    </row>
    <row r="184" spans="1:11" x14ac:dyDescent="0.25">
      <c r="A184" s="249"/>
      <c r="B184" s="249"/>
      <c r="C184" s="249"/>
      <c r="D184" s="249"/>
      <c r="E184" s="249"/>
      <c r="F184" s="249"/>
      <c r="G184" s="249"/>
      <c r="I184" s="249"/>
      <c r="J184" s="249"/>
      <c r="K184" s="249"/>
    </row>
    <row r="185" spans="1:11" x14ac:dyDescent="0.25">
      <c r="A185" s="249"/>
      <c r="B185" s="249"/>
      <c r="C185" s="249"/>
      <c r="D185" s="249"/>
      <c r="E185" s="249"/>
      <c r="F185" s="249"/>
      <c r="G185" s="249"/>
      <c r="I185" s="249"/>
      <c r="J185" s="249"/>
      <c r="K185" s="249"/>
    </row>
    <row r="186" spans="1:11" x14ac:dyDescent="0.25">
      <c r="A186" s="249"/>
      <c r="B186" s="249"/>
      <c r="C186" s="249"/>
      <c r="D186" s="249"/>
      <c r="E186" s="249"/>
      <c r="F186" s="249"/>
      <c r="G186" s="249"/>
      <c r="I186" s="249"/>
      <c r="J186" s="249"/>
      <c r="K186" s="249"/>
    </row>
    <row r="187" spans="1:11" x14ac:dyDescent="0.25">
      <c r="A187" s="249"/>
      <c r="B187" s="249"/>
      <c r="C187" s="249"/>
      <c r="D187" s="249"/>
      <c r="E187" s="249"/>
      <c r="F187" s="249"/>
      <c r="G187" s="249"/>
      <c r="I187" s="249"/>
      <c r="J187" s="249"/>
      <c r="K187" s="249"/>
    </row>
    <row r="188" spans="1:11" x14ac:dyDescent="0.25">
      <c r="A188" s="249"/>
      <c r="B188" s="249"/>
      <c r="C188" s="249"/>
      <c r="D188" s="249"/>
      <c r="E188" s="249"/>
      <c r="F188" s="249"/>
      <c r="G188" s="249"/>
      <c r="I188" s="249"/>
      <c r="J188" s="249"/>
      <c r="K188" s="249"/>
    </row>
    <row r="189" spans="1:11" x14ac:dyDescent="0.25">
      <c r="A189" s="249"/>
      <c r="B189" s="249"/>
      <c r="C189" s="249"/>
      <c r="D189" s="249"/>
      <c r="E189" s="249"/>
      <c r="F189" s="249"/>
      <c r="G189" s="249"/>
      <c r="I189" s="249"/>
      <c r="J189" s="249"/>
      <c r="K189" s="249"/>
    </row>
    <row r="190" spans="1:11" x14ac:dyDescent="0.25">
      <c r="A190" s="249"/>
      <c r="B190" s="249"/>
      <c r="C190" s="249"/>
      <c r="D190" s="249"/>
      <c r="E190" s="249"/>
      <c r="F190" s="249"/>
      <c r="G190" s="249"/>
      <c r="I190" s="249"/>
      <c r="J190" s="249"/>
      <c r="K190" s="249"/>
    </row>
    <row r="191" spans="1:11" x14ac:dyDescent="0.25">
      <c r="A191" s="249"/>
      <c r="B191" s="249"/>
      <c r="C191" s="249"/>
      <c r="D191" s="249"/>
      <c r="E191" s="249"/>
      <c r="F191" s="249"/>
      <c r="G191" s="249"/>
      <c r="I191" s="249"/>
      <c r="J191" s="249"/>
      <c r="K191" s="249"/>
    </row>
  </sheetData>
  <hyperlinks>
    <hyperlink ref="I3" r:id="rId1"/>
    <hyperlink ref="I5" r:id="rId2"/>
    <hyperlink ref="I7" r:id="rId3"/>
    <hyperlink ref="I9" r:id="rId4"/>
    <hyperlink ref="T24" r:id="rId5" display="https://tntcat.iiasa.ac.at/SspDb/dsd?Action=htmlpage&amp;page=about"/>
  </hyperlinks>
  <pageMargins left="0.7" right="0.7" top="0.75" bottom="0.75" header="0.3" footer="0.3"/>
  <pageSetup paperSize="9" orientation="portrait" horizontalDpi="1200" verticalDpi="1200" r:id="rId6"/>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70" zoomScaleNormal="70" workbookViewId="0">
      <pane xSplit="2" ySplit="1" topLeftCell="C8" activePane="bottomRight" state="frozen"/>
      <selection pane="topRight" activeCell="C1" sqref="C1"/>
      <selection pane="bottomLeft" activeCell="A2" sqref="A2"/>
      <selection pane="bottomRight" sqref="A1:A1048576"/>
    </sheetView>
  </sheetViews>
  <sheetFormatPr defaultColWidth="9" defaultRowHeight="15" x14ac:dyDescent="0.25"/>
  <cols>
    <col min="1" max="2" width="14.28515625" style="46" customWidth="1"/>
    <col min="3" max="3" width="53" style="33" customWidth="1"/>
    <col min="4" max="4" width="53.28515625" style="33" customWidth="1"/>
    <col min="5" max="5" width="53.85546875" style="33" customWidth="1"/>
    <col min="6" max="6" width="66.5703125" style="33" customWidth="1"/>
    <col min="7" max="7" width="20.140625" style="33" customWidth="1"/>
    <col min="8" max="8" width="60.85546875" style="33" customWidth="1"/>
    <col min="9" max="16384" width="9" style="46"/>
  </cols>
  <sheetData>
    <row r="1" spans="1:8" s="99" customFormat="1" ht="123" customHeight="1" x14ac:dyDescent="0.25">
      <c r="A1" s="98"/>
      <c r="B1" s="98"/>
      <c r="C1" s="33" t="s">
        <v>136</v>
      </c>
      <c r="D1" s="33" t="s">
        <v>137</v>
      </c>
      <c r="E1" s="33" t="s">
        <v>138</v>
      </c>
      <c r="F1" s="698" t="s">
        <v>139</v>
      </c>
      <c r="G1" s="698"/>
      <c r="H1" s="33" t="s">
        <v>140</v>
      </c>
    </row>
    <row r="2" spans="1:8" x14ac:dyDescent="0.25">
      <c r="A2" s="98"/>
      <c r="B2" s="98" t="s">
        <v>158</v>
      </c>
      <c r="C2" s="33" t="s">
        <v>153</v>
      </c>
      <c r="D2" s="33" t="s">
        <v>153</v>
      </c>
      <c r="E2" s="33" t="s">
        <v>153</v>
      </c>
      <c r="F2" s="33" t="s">
        <v>187</v>
      </c>
      <c r="G2" s="33" t="s">
        <v>186</v>
      </c>
      <c r="H2" s="33" t="s">
        <v>153</v>
      </c>
    </row>
    <row r="3" spans="1:8" ht="105" x14ac:dyDescent="0.25">
      <c r="A3" s="700" t="s">
        <v>142</v>
      </c>
      <c r="B3" s="100" t="s">
        <v>178</v>
      </c>
      <c r="C3" s="32" t="s">
        <v>293</v>
      </c>
      <c r="D3" s="32" t="s">
        <v>273</v>
      </c>
      <c r="E3" s="32" t="s">
        <v>294</v>
      </c>
      <c r="F3" s="697" t="s">
        <v>295</v>
      </c>
      <c r="G3" s="697"/>
      <c r="H3" s="32" t="s">
        <v>282</v>
      </c>
    </row>
    <row r="4" spans="1:8" ht="75" x14ac:dyDescent="0.25">
      <c r="A4" s="700"/>
      <c r="B4" s="100" t="s">
        <v>179</v>
      </c>
      <c r="C4" s="32" t="s">
        <v>296</v>
      </c>
      <c r="D4" s="32" t="s">
        <v>297</v>
      </c>
      <c r="E4" s="32" t="s">
        <v>298</v>
      </c>
      <c r="F4" s="697" t="s">
        <v>249</v>
      </c>
      <c r="G4" s="697"/>
      <c r="H4" s="32" t="s">
        <v>283</v>
      </c>
    </row>
    <row r="5" spans="1:8" ht="90" x14ac:dyDescent="0.25">
      <c r="A5" s="700"/>
      <c r="B5" s="100" t="s">
        <v>10</v>
      </c>
      <c r="C5" s="32" t="s">
        <v>270</v>
      </c>
      <c r="D5" s="32" t="s">
        <v>274</v>
      </c>
      <c r="E5" s="32" t="s">
        <v>278</v>
      </c>
      <c r="F5" s="32" t="s">
        <v>299</v>
      </c>
      <c r="G5" s="32"/>
      <c r="H5" s="32" t="s">
        <v>300</v>
      </c>
    </row>
    <row r="6" spans="1:8" ht="120" x14ac:dyDescent="0.25">
      <c r="A6" s="700"/>
      <c r="B6" s="100" t="s">
        <v>180</v>
      </c>
      <c r="C6" s="32" t="s">
        <v>301</v>
      </c>
      <c r="D6" s="32" t="s">
        <v>275</v>
      </c>
      <c r="E6" s="32" t="s">
        <v>302</v>
      </c>
      <c r="F6" s="697" t="s">
        <v>303</v>
      </c>
      <c r="G6" s="697"/>
      <c r="H6" s="32" t="s">
        <v>304</v>
      </c>
    </row>
    <row r="7" spans="1:8" ht="132" customHeight="1" x14ac:dyDescent="0.25">
      <c r="A7" s="699" t="s">
        <v>144</v>
      </c>
      <c r="B7" s="101" t="s">
        <v>240</v>
      </c>
      <c r="C7" s="32" t="s">
        <v>305</v>
      </c>
      <c r="D7" s="32" t="s">
        <v>306</v>
      </c>
      <c r="E7" s="32" t="s">
        <v>307</v>
      </c>
      <c r="F7" s="697" t="s">
        <v>308</v>
      </c>
      <c r="G7" s="697"/>
      <c r="H7" s="32" t="s">
        <v>309</v>
      </c>
    </row>
    <row r="8" spans="1:8" ht="195" x14ac:dyDescent="0.25">
      <c r="A8" s="699"/>
      <c r="B8" s="101" t="s">
        <v>310</v>
      </c>
      <c r="C8" s="32" t="s">
        <v>311</v>
      </c>
      <c r="D8" s="32" t="s">
        <v>276</v>
      </c>
      <c r="E8" s="32" t="s">
        <v>279</v>
      </c>
      <c r="F8" s="697" t="s">
        <v>312</v>
      </c>
      <c r="G8" s="697"/>
      <c r="H8" s="32" t="s">
        <v>245</v>
      </c>
    </row>
    <row r="9" spans="1:8" ht="75" x14ac:dyDescent="0.25">
      <c r="A9" s="699" t="s">
        <v>172</v>
      </c>
      <c r="B9" s="101" t="s">
        <v>182</v>
      </c>
      <c r="C9" s="32" t="s">
        <v>313</v>
      </c>
      <c r="D9" s="32" t="s">
        <v>246</v>
      </c>
      <c r="E9" s="32" t="s">
        <v>247</v>
      </c>
      <c r="F9" s="697" t="s">
        <v>314</v>
      </c>
      <c r="G9" s="697"/>
      <c r="H9" s="32" t="s">
        <v>315</v>
      </c>
    </row>
    <row r="10" spans="1:8" ht="150" x14ac:dyDescent="0.25">
      <c r="A10" s="699"/>
      <c r="B10" s="101" t="s">
        <v>183</v>
      </c>
      <c r="C10" s="32" t="s">
        <v>316</v>
      </c>
      <c r="D10" s="32" t="s">
        <v>250</v>
      </c>
      <c r="E10" s="32" t="s">
        <v>317</v>
      </c>
      <c r="F10" s="697" t="s">
        <v>318</v>
      </c>
      <c r="G10" s="697"/>
      <c r="H10" s="32" t="s">
        <v>319</v>
      </c>
    </row>
    <row r="11" spans="1:8" ht="135" x14ac:dyDescent="0.25">
      <c r="A11" s="101" t="s">
        <v>173</v>
      </c>
      <c r="B11" s="101" t="s">
        <v>320</v>
      </c>
      <c r="C11" s="32" t="s">
        <v>321</v>
      </c>
      <c r="D11" s="32" t="s">
        <v>322</v>
      </c>
      <c r="E11" s="32" t="s">
        <v>280</v>
      </c>
      <c r="F11" s="697" t="s">
        <v>248</v>
      </c>
      <c r="G11" s="697"/>
      <c r="H11" s="32" t="s">
        <v>323</v>
      </c>
    </row>
    <row r="12" spans="1:8" ht="67.5" customHeight="1" x14ac:dyDescent="0.25">
      <c r="A12" s="699" t="s">
        <v>135</v>
      </c>
      <c r="B12" s="101" t="s">
        <v>288</v>
      </c>
      <c r="C12" s="32" t="s">
        <v>271</v>
      </c>
      <c r="D12" s="32" t="s">
        <v>251</v>
      </c>
      <c r="E12" s="32" t="s">
        <v>252</v>
      </c>
      <c r="F12" s="697" t="s">
        <v>281</v>
      </c>
      <c r="G12" s="697"/>
      <c r="H12" s="32" t="s">
        <v>253</v>
      </c>
    </row>
    <row r="13" spans="1:8" ht="75" x14ac:dyDescent="0.25">
      <c r="A13" s="699"/>
      <c r="B13" s="101" t="s">
        <v>289</v>
      </c>
      <c r="C13" s="32" t="s">
        <v>272</v>
      </c>
      <c r="D13" s="32" t="s">
        <v>277</v>
      </c>
      <c r="E13" s="32" t="s">
        <v>324</v>
      </c>
      <c r="F13" s="697" t="s">
        <v>325</v>
      </c>
      <c r="G13" s="697"/>
      <c r="H13" s="32" t="s">
        <v>254</v>
      </c>
    </row>
    <row r="14" spans="1:8" ht="90" x14ac:dyDescent="0.25">
      <c r="A14" s="100" t="s">
        <v>290</v>
      </c>
      <c r="B14" s="100" t="s">
        <v>292</v>
      </c>
      <c r="C14" s="32" t="s">
        <v>326</v>
      </c>
      <c r="D14" s="32" t="s">
        <v>259</v>
      </c>
      <c r="E14" s="32" t="s">
        <v>260</v>
      </c>
      <c r="F14" s="697" t="s">
        <v>327</v>
      </c>
      <c r="G14" s="697"/>
      <c r="H14" s="32" t="s">
        <v>328</v>
      </c>
    </row>
    <row r="15" spans="1:8" x14ac:dyDescent="0.25">
      <c r="A15" s="102"/>
      <c r="B15" s="102"/>
    </row>
    <row r="16" spans="1:8" x14ac:dyDescent="0.25">
      <c r="A16" s="102"/>
      <c r="B16" s="102"/>
    </row>
    <row r="17" spans="1:2" x14ac:dyDescent="0.25">
      <c r="A17" s="102"/>
      <c r="B17" s="102"/>
    </row>
  </sheetData>
  <mergeCells count="16">
    <mergeCell ref="F14:G14"/>
    <mergeCell ref="F1:G1"/>
    <mergeCell ref="F11:G11"/>
    <mergeCell ref="A12:A13"/>
    <mergeCell ref="F12:G12"/>
    <mergeCell ref="F13:G13"/>
    <mergeCell ref="A7:A8"/>
    <mergeCell ref="F7:G7"/>
    <mergeCell ref="F8:G8"/>
    <mergeCell ref="A9:A10"/>
    <mergeCell ref="F9:G9"/>
    <mergeCell ref="F10:G10"/>
    <mergeCell ref="A3:A6"/>
    <mergeCell ref="F3:G3"/>
    <mergeCell ref="F4:G4"/>
    <mergeCell ref="F6:G6"/>
  </mergeCells>
  <pageMargins left="0.7" right="0.7" top="0.75" bottom="0.75" header="0.3" footer="0.3"/>
  <pageSetup paperSize="9"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2" activePane="bottomRight" state="frozen"/>
      <selection pane="topRight" activeCell="C1" sqref="C1"/>
      <selection pane="bottomLeft" activeCell="A2" sqref="A2"/>
      <selection pane="bottomRight" activeCell="H17" sqref="H17"/>
    </sheetView>
  </sheetViews>
  <sheetFormatPr defaultColWidth="9" defaultRowHeight="11.25" x14ac:dyDescent="0.2"/>
  <cols>
    <col min="1" max="1" width="4.5703125" style="109" customWidth="1"/>
    <col min="2" max="2" width="14" style="109" customWidth="1"/>
    <col min="3" max="3" width="62.5703125" style="109" customWidth="1"/>
    <col min="4" max="4" width="15" style="106" customWidth="1"/>
    <col min="5" max="5" width="13.7109375" style="106" customWidth="1"/>
    <col min="6" max="6" width="14" style="106" customWidth="1"/>
    <col min="7" max="7" width="15.140625" style="106" customWidth="1"/>
    <col min="8" max="8" width="15.28515625" style="106" customWidth="1"/>
    <col min="9" max="9" width="13.140625" style="106" customWidth="1"/>
    <col min="10" max="16384" width="9" style="109"/>
  </cols>
  <sheetData>
    <row r="1" spans="1:9" s="108" customFormat="1" x14ac:dyDescent="0.2">
      <c r="A1" s="103"/>
      <c r="B1" s="103"/>
      <c r="C1" s="104" t="s">
        <v>190</v>
      </c>
      <c r="D1" s="106" t="s">
        <v>136</v>
      </c>
      <c r="E1" s="106" t="s">
        <v>137</v>
      </c>
      <c r="F1" s="106" t="s">
        <v>138</v>
      </c>
      <c r="G1" s="464" t="s">
        <v>139</v>
      </c>
      <c r="H1" s="464"/>
      <c r="I1" s="106" t="s">
        <v>140</v>
      </c>
    </row>
    <row r="2" spans="1:9" x14ac:dyDescent="0.2">
      <c r="A2" s="103"/>
      <c r="B2" s="103"/>
      <c r="C2" s="464" t="s">
        <v>158</v>
      </c>
      <c r="D2" s="106" t="s">
        <v>153</v>
      </c>
      <c r="E2" s="106" t="s">
        <v>153</v>
      </c>
      <c r="F2" s="106" t="s">
        <v>153</v>
      </c>
      <c r="G2" s="106" t="s">
        <v>187</v>
      </c>
      <c r="H2" s="106" t="s">
        <v>186</v>
      </c>
      <c r="I2" s="106" t="s">
        <v>153</v>
      </c>
    </row>
    <row r="3" spans="1:9" x14ac:dyDescent="0.2">
      <c r="A3" s="701" t="s">
        <v>142</v>
      </c>
      <c r="B3" s="702" t="s">
        <v>291</v>
      </c>
      <c r="C3" s="110" t="s">
        <v>329</v>
      </c>
      <c r="D3" s="112"/>
      <c r="E3" s="112" t="s">
        <v>154</v>
      </c>
      <c r="F3" s="112" t="s">
        <v>155</v>
      </c>
      <c r="G3" s="112" t="s">
        <v>152</v>
      </c>
      <c r="H3" s="112" t="s">
        <v>155</v>
      </c>
      <c r="I3" s="112" t="s">
        <v>152</v>
      </c>
    </row>
    <row r="4" spans="1:9" x14ac:dyDescent="0.2">
      <c r="A4" s="701"/>
      <c r="B4" s="702"/>
      <c r="C4" s="113" t="s">
        <v>330</v>
      </c>
      <c r="D4" s="112" t="s">
        <v>155</v>
      </c>
      <c r="E4" s="112" t="s">
        <v>154</v>
      </c>
      <c r="F4" s="112" t="s">
        <v>152</v>
      </c>
      <c r="G4" s="112" t="s">
        <v>155</v>
      </c>
      <c r="H4" s="112" t="s">
        <v>152</v>
      </c>
      <c r="I4" s="112" t="s">
        <v>155</v>
      </c>
    </row>
    <row r="5" spans="1:9" x14ac:dyDescent="0.2">
      <c r="A5" s="701"/>
      <c r="B5" s="702"/>
      <c r="C5" s="113" t="s">
        <v>331</v>
      </c>
      <c r="D5" s="112" t="s">
        <v>152</v>
      </c>
      <c r="E5" s="112" t="s">
        <v>154</v>
      </c>
      <c r="F5" s="112" t="s">
        <v>155</v>
      </c>
      <c r="G5" s="112" t="s">
        <v>154</v>
      </c>
      <c r="H5" s="112" t="s">
        <v>155</v>
      </c>
      <c r="I5" s="112" t="s">
        <v>152</v>
      </c>
    </row>
    <row r="6" spans="1:9" s="114" customFormat="1" x14ac:dyDescent="0.2">
      <c r="A6" s="701"/>
      <c r="B6" s="702" t="s">
        <v>377</v>
      </c>
      <c r="C6" s="113" t="s">
        <v>332</v>
      </c>
      <c r="D6" s="112" t="s">
        <v>152</v>
      </c>
      <c r="E6" s="112" t="s">
        <v>154</v>
      </c>
      <c r="F6" s="112" t="s">
        <v>154</v>
      </c>
      <c r="G6" s="112" t="s">
        <v>152</v>
      </c>
      <c r="H6" s="112" t="s">
        <v>152</v>
      </c>
      <c r="I6" s="112" t="s">
        <v>152</v>
      </c>
    </row>
    <row r="7" spans="1:9" s="114" customFormat="1" x14ac:dyDescent="0.2">
      <c r="A7" s="701"/>
      <c r="B7" s="702"/>
      <c r="C7" s="113" t="s">
        <v>333</v>
      </c>
      <c r="D7" s="112" t="s">
        <v>152</v>
      </c>
      <c r="E7" s="112" t="s">
        <v>154</v>
      </c>
      <c r="F7" s="112" t="s">
        <v>154</v>
      </c>
      <c r="G7" s="112" t="s">
        <v>152</v>
      </c>
      <c r="H7" s="112" t="s">
        <v>152</v>
      </c>
      <c r="I7" s="112" t="s">
        <v>152</v>
      </c>
    </row>
    <row r="8" spans="1:9" s="114" customFormat="1" x14ac:dyDescent="0.2">
      <c r="A8" s="701"/>
      <c r="B8" s="702"/>
      <c r="C8" s="113" t="s">
        <v>334</v>
      </c>
      <c r="D8" s="112" t="s">
        <v>152</v>
      </c>
      <c r="E8" s="112" t="s">
        <v>154</v>
      </c>
      <c r="F8" s="112" t="s">
        <v>156</v>
      </c>
      <c r="G8" s="112" t="s">
        <v>152</v>
      </c>
      <c r="H8" s="112" t="s">
        <v>154</v>
      </c>
      <c r="I8" s="112" t="s">
        <v>152</v>
      </c>
    </row>
    <row r="9" spans="1:9" x14ac:dyDescent="0.2">
      <c r="A9" s="701"/>
      <c r="B9" s="702"/>
      <c r="C9" s="113" t="s">
        <v>335</v>
      </c>
      <c r="D9" s="112" t="s">
        <v>152</v>
      </c>
      <c r="E9" s="112" t="s">
        <v>154</v>
      </c>
      <c r="F9" s="112" t="s">
        <v>156</v>
      </c>
      <c r="G9" s="112" t="s">
        <v>152</v>
      </c>
      <c r="H9" s="112" t="s">
        <v>154</v>
      </c>
      <c r="I9" s="112" t="s">
        <v>152</v>
      </c>
    </row>
    <row r="10" spans="1:9" x14ac:dyDescent="0.2">
      <c r="A10" s="701"/>
      <c r="B10" s="702"/>
      <c r="C10" s="113" t="s">
        <v>336</v>
      </c>
      <c r="D10" s="112" t="s">
        <v>152</v>
      </c>
      <c r="E10" s="112" t="s">
        <v>154</v>
      </c>
      <c r="F10" s="112" t="s">
        <v>155</v>
      </c>
      <c r="G10" s="112" t="s">
        <v>157</v>
      </c>
      <c r="H10" s="112" t="s">
        <v>155</v>
      </c>
      <c r="I10" s="112" t="s">
        <v>152</v>
      </c>
    </row>
    <row r="11" spans="1:9" x14ac:dyDescent="0.2">
      <c r="A11" s="701"/>
      <c r="B11" s="702"/>
      <c r="C11" s="113" t="s">
        <v>337</v>
      </c>
      <c r="D11" s="112" t="s">
        <v>152</v>
      </c>
      <c r="E11" s="112" t="s">
        <v>154</v>
      </c>
      <c r="F11" s="112" t="s">
        <v>155</v>
      </c>
      <c r="G11" s="112" t="s">
        <v>157</v>
      </c>
      <c r="H11" s="112" t="s">
        <v>155</v>
      </c>
      <c r="I11" s="112" t="s">
        <v>152</v>
      </c>
    </row>
    <row r="12" spans="1:9" s="114" customFormat="1" x14ac:dyDescent="0.2">
      <c r="A12" s="701"/>
      <c r="B12" s="702" t="s">
        <v>10</v>
      </c>
      <c r="C12" s="113" t="s">
        <v>338</v>
      </c>
      <c r="D12" s="115" t="s">
        <v>152</v>
      </c>
      <c r="E12" s="115" t="s">
        <v>154</v>
      </c>
      <c r="F12" s="115" t="s">
        <v>155</v>
      </c>
      <c r="G12" s="112" t="s">
        <v>154</v>
      </c>
      <c r="H12" s="112" t="s">
        <v>155</v>
      </c>
      <c r="I12" s="115" t="s">
        <v>152</v>
      </c>
    </row>
    <row r="13" spans="1:9" s="114" customFormat="1" x14ac:dyDescent="0.2">
      <c r="A13" s="701"/>
      <c r="B13" s="702"/>
      <c r="C13" s="113" t="s">
        <v>339</v>
      </c>
      <c r="D13" s="115" t="s">
        <v>152</v>
      </c>
      <c r="E13" s="115" t="s">
        <v>154</v>
      </c>
      <c r="F13" s="115" t="s">
        <v>155</v>
      </c>
      <c r="G13" s="112" t="s">
        <v>154</v>
      </c>
      <c r="H13" s="112" t="s">
        <v>155</v>
      </c>
      <c r="I13" s="115" t="s">
        <v>152</v>
      </c>
    </row>
    <row r="14" spans="1:9" s="114" customFormat="1" x14ac:dyDescent="0.2">
      <c r="A14" s="701"/>
      <c r="B14" s="702" t="s">
        <v>378</v>
      </c>
      <c r="C14" s="116" t="s">
        <v>340</v>
      </c>
      <c r="D14" s="115" t="s">
        <v>152</v>
      </c>
      <c r="E14" s="115" t="s">
        <v>154</v>
      </c>
      <c r="F14" s="115" t="s">
        <v>155</v>
      </c>
      <c r="G14" s="112" t="s">
        <v>154</v>
      </c>
      <c r="H14" s="112" t="s">
        <v>152</v>
      </c>
      <c r="I14" s="115" t="s">
        <v>152</v>
      </c>
    </row>
    <row r="15" spans="1:9" x14ac:dyDescent="0.2">
      <c r="A15" s="701"/>
      <c r="B15" s="702"/>
      <c r="C15" s="117" t="s">
        <v>341</v>
      </c>
      <c r="D15" s="115" t="s">
        <v>155</v>
      </c>
      <c r="E15" s="115" t="s">
        <v>154</v>
      </c>
      <c r="F15" s="115" t="s">
        <v>152</v>
      </c>
      <c r="G15" s="112" t="s">
        <v>154</v>
      </c>
      <c r="H15" s="112" t="s">
        <v>155</v>
      </c>
      <c r="I15" s="115" t="s">
        <v>155</v>
      </c>
    </row>
    <row r="16" spans="1:9" x14ac:dyDescent="0.2">
      <c r="A16" s="701" t="s">
        <v>144</v>
      </c>
      <c r="B16" s="702" t="s">
        <v>379</v>
      </c>
      <c r="C16" s="113" t="s">
        <v>342</v>
      </c>
      <c r="D16" s="106" t="s">
        <v>155</v>
      </c>
      <c r="E16" s="106" t="s">
        <v>154</v>
      </c>
      <c r="F16" s="106" t="s">
        <v>152</v>
      </c>
      <c r="G16" s="112" t="s">
        <v>155</v>
      </c>
      <c r="H16" s="112" t="s">
        <v>152</v>
      </c>
      <c r="I16" s="106" t="s">
        <v>156</v>
      </c>
    </row>
    <row r="17" spans="1:9" x14ac:dyDescent="0.2">
      <c r="A17" s="701"/>
      <c r="B17" s="702"/>
      <c r="C17" s="110" t="s">
        <v>343</v>
      </c>
      <c r="D17" s="118" t="s">
        <v>152</v>
      </c>
      <c r="E17" s="118" t="s">
        <v>154</v>
      </c>
      <c r="F17" s="118" t="s">
        <v>155</v>
      </c>
      <c r="G17" s="118" t="s">
        <v>154</v>
      </c>
      <c r="H17" s="118" t="s">
        <v>155</v>
      </c>
      <c r="I17" s="118" t="s">
        <v>155</v>
      </c>
    </row>
    <row r="18" spans="1:9" x14ac:dyDescent="0.2">
      <c r="A18" s="701"/>
      <c r="B18" s="702" t="s">
        <v>380</v>
      </c>
      <c r="C18" s="116" t="s">
        <v>344</v>
      </c>
      <c r="D18" s="106" t="s">
        <v>152</v>
      </c>
      <c r="E18" s="106" t="s">
        <v>154</v>
      </c>
      <c r="F18" s="106" t="s">
        <v>155</v>
      </c>
      <c r="G18" s="112" t="s">
        <v>154</v>
      </c>
      <c r="H18" s="112" t="s">
        <v>155</v>
      </c>
      <c r="I18" s="106" t="s">
        <v>152</v>
      </c>
    </row>
    <row r="19" spans="1:9" x14ac:dyDescent="0.2">
      <c r="A19" s="701"/>
      <c r="B19" s="702"/>
      <c r="C19" s="113" t="s">
        <v>345</v>
      </c>
      <c r="D19" s="106" t="s">
        <v>155</v>
      </c>
      <c r="E19" s="106" t="s">
        <v>154</v>
      </c>
      <c r="F19" s="106" t="s">
        <v>152</v>
      </c>
      <c r="G19" s="112" t="s">
        <v>155</v>
      </c>
      <c r="H19" s="112" t="s">
        <v>152</v>
      </c>
      <c r="I19" s="106" t="s">
        <v>156</v>
      </c>
    </row>
    <row r="20" spans="1:9" x14ac:dyDescent="0.2">
      <c r="A20" s="701"/>
      <c r="B20" s="702"/>
      <c r="C20" s="113" t="s">
        <v>346</v>
      </c>
      <c r="D20" s="106" t="s">
        <v>155</v>
      </c>
      <c r="E20" s="106" t="s">
        <v>154</v>
      </c>
      <c r="F20" s="106" t="s">
        <v>152</v>
      </c>
      <c r="G20" s="112" t="s">
        <v>155</v>
      </c>
      <c r="H20" s="112" t="s">
        <v>152</v>
      </c>
      <c r="I20" s="106" t="s">
        <v>156</v>
      </c>
    </row>
    <row r="21" spans="1:9" x14ac:dyDescent="0.2">
      <c r="A21" s="701"/>
      <c r="B21" s="702"/>
      <c r="C21" s="113" t="s">
        <v>347</v>
      </c>
      <c r="D21" s="106" t="s">
        <v>155</v>
      </c>
      <c r="E21" s="106" t="s">
        <v>154</v>
      </c>
      <c r="F21" s="106" t="s">
        <v>152</v>
      </c>
      <c r="G21" s="112" t="s">
        <v>155</v>
      </c>
      <c r="H21" s="112" t="s">
        <v>152</v>
      </c>
      <c r="I21" s="106" t="s">
        <v>156</v>
      </c>
    </row>
    <row r="22" spans="1:9" x14ac:dyDescent="0.2">
      <c r="A22" s="701"/>
      <c r="B22" s="702"/>
      <c r="C22" s="113" t="s">
        <v>348</v>
      </c>
      <c r="D22" s="106" t="s">
        <v>152</v>
      </c>
      <c r="E22" s="106" t="s">
        <v>154</v>
      </c>
      <c r="F22" s="106" t="s">
        <v>155</v>
      </c>
      <c r="G22" s="112" t="s">
        <v>152</v>
      </c>
      <c r="H22" s="112" t="s">
        <v>155</v>
      </c>
      <c r="I22" s="106" t="s">
        <v>157</v>
      </c>
    </row>
    <row r="23" spans="1:9" s="114" customFormat="1" x14ac:dyDescent="0.2">
      <c r="A23" s="701"/>
      <c r="B23" s="702"/>
      <c r="C23" s="113" t="s">
        <v>349</v>
      </c>
      <c r="D23" s="119" t="s">
        <v>154</v>
      </c>
      <c r="E23" s="119" t="s">
        <v>154</v>
      </c>
      <c r="F23" s="119" t="s">
        <v>152</v>
      </c>
      <c r="G23" s="112" t="s">
        <v>155</v>
      </c>
      <c r="H23" s="112" t="s">
        <v>152</v>
      </c>
      <c r="I23" s="119" t="s">
        <v>157</v>
      </c>
    </row>
    <row r="24" spans="1:9" s="114" customFormat="1" x14ac:dyDescent="0.2">
      <c r="A24" s="701" t="s">
        <v>172</v>
      </c>
      <c r="B24" s="702" t="s">
        <v>381</v>
      </c>
      <c r="C24" s="120" t="s">
        <v>350</v>
      </c>
      <c r="D24" s="121" t="s">
        <v>177</v>
      </c>
      <c r="E24" s="119" t="s">
        <v>154</v>
      </c>
      <c r="F24" s="121" t="s">
        <v>177</v>
      </c>
      <c r="G24" s="121" t="s">
        <v>177</v>
      </c>
      <c r="H24" s="121" t="s">
        <v>177</v>
      </c>
      <c r="I24" s="121" t="s">
        <v>177</v>
      </c>
    </row>
    <row r="25" spans="1:9" s="114" customFormat="1" x14ac:dyDescent="0.2">
      <c r="A25" s="701"/>
      <c r="B25" s="702"/>
      <c r="C25" s="113" t="s">
        <v>351</v>
      </c>
      <c r="D25" s="119" t="s">
        <v>154</v>
      </c>
      <c r="E25" s="119" t="s">
        <v>154</v>
      </c>
      <c r="F25" s="119" t="s">
        <v>155</v>
      </c>
      <c r="G25" s="119" t="s">
        <v>154</v>
      </c>
      <c r="H25" s="119" t="s">
        <v>154</v>
      </c>
      <c r="I25" s="119" t="s">
        <v>152</v>
      </c>
    </row>
    <row r="26" spans="1:9" s="114" customFormat="1" x14ac:dyDescent="0.2">
      <c r="A26" s="701"/>
      <c r="B26" s="702"/>
      <c r="C26" s="116" t="s">
        <v>352</v>
      </c>
      <c r="D26" s="119" t="s">
        <v>154</v>
      </c>
      <c r="E26" s="119" t="s">
        <v>154</v>
      </c>
      <c r="F26" s="119" t="s">
        <v>155</v>
      </c>
      <c r="G26" s="119" t="s">
        <v>154</v>
      </c>
      <c r="H26" s="119" t="s">
        <v>154</v>
      </c>
      <c r="I26" s="119" t="s">
        <v>152</v>
      </c>
    </row>
    <row r="27" spans="1:9" s="114" customFormat="1" x14ac:dyDescent="0.2">
      <c r="A27" s="701"/>
      <c r="B27" s="702"/>
      <c r="C27" s="116" t="s">
        <v>353</v>
      </c>
      <c r="D27" s="119" t="s">
        <v>154</v>
      </c>
      <c r="E27" s="119" t="s">
        <v>154</v>
      </c>
      <c r="F27" s="119" t="s">
        <v>155</v>
      </c>
      <c r="G27" s="119" t="s">
        <v>154</v>
      </c>
      <c r="H27" s="119" t="s">
        <v>154</v>
      </c>
      <c r="I27" s="119" t="s">
        <v>152</v>
      </c>
    </row>
    <row r="28" spans="1:9" s="114" customFormat="1" x14ac:dyDescent="0.2">
      <c r="A28" s="701"/>
      <c r="B28" s="702"/>
      <c r="C28" s="116" t="s">
        <v>354</v>
      </c>
      <c r="D28" s="119" t="s">
        <v>152</v>
      </c>
      <c r="E28" s="119" t="s">
        <v>154</v>
      </c>
      <c r="F28" s="119" t="s">
        <v>155</v>
      </c>
      <c r="G28" s="119" t="s">
        <v>152</v>
      </c>
      <c r="H28" s="119" t="s">
        <v>155</v>
      </c>
      <c r="I28" s="119" t="s">
        <v>154</v>
      </c>
    </row>
    <row r="29" spans="1:9" s="114" customFormat="1" x14ac:dyDescent="0.2">
      <c r="A29" s="701"/>
      <c r="B29" s="702"/>
      <c r="C29" s="113" t="s">
        <v>355</v>
      </c>
      <c r="D29" s="119" t="s">
        <v>152</v>
      </c>
      <c r="E29" s="119" t="s">
        <v>154</v>
      </c>
      <c r="F29" s="119" t="s">
        <v>155</v>
      </c>
      <c r="G29" s="119" t="s">
        <v>152</v>
      </c>
      <c r="H29" s="119" t="s">
        <v>155</v>
      </c>
      <c r="I29" s="119" t="s">
        <v>154</v>
      </c>
    </row>
    <row r="30" spans="1:9" s="114" customFormat="1" x14ac:dyDescent="0.2">
      <c r="A30" s="701"/>
      <c r="B30" s="702"/>
      <c r="C30" s="110" t="s">
        <v>356</v>
      </c>
      <c r="D30" s="121" t="s">
        <v>154</v>
      </c>
      <c r="E30" s="119" t="s">
        <v>154</v>
      </c>
      <c r="F30" s="121" t="s">
        <v>152</v>
      </c>
      <c r="G30" s="122" t="s">
        <v>154</v>
      </c>
      <c r="H30" s="119" t="s">
        <v>154</v>
      </c>
      <c r="I30" s="122" t="s">
        <v>155</v>
      </c>
    </row>
    <row r="31" spans="1:9" x14ac:dyDescent="0.2">
      <c r="A31" s="701"/>
      <c r="B31" s="702" t="s">
        <v>382</v>
      </c>
      <c r="C31" s="116" t="s">
        <v>357</v>
      </c>
      <c r="D31" s="121" t="s">
        <v>155</v>
      </c>
      <c r="E31" s="121" t="s">
        <v>154</v>
      </c>
      <c r="F31" s="122" t="s">
        <v>152</v>
      </c>
      <c r="G31" s="121" t="s">
        <v>155</v>
      </c>
      <c r="H31" s="121" t="s">
        <v>152</v>
      </c>
      <c r="I31" s="122" t="s">
        <v>152</v>
      </c>
    </row>
    <row r="32" spans="1:9" x14ac:dyDescent="0.2">
      <c r="A32" s="701"/>
      <c r="B32" s="702"/>
      <c r="C32" s="116" t="s">
        <v>358</v>
      </c>
      <c r="D32" s="121" t="s">
        <v>155</v>
      </c>
      <c r="E32" s="121" t="s">
        <v>154</v>
      </c>
      <c r="F32" s="122" t="s">
        <v>152</v>
      </c>
      <c r="G32" s="121" t="s">
        <v>155</v>
      </c>
      <c r="H32" s="121" t="s">
        <v>152</v>
      </c>
      <c r="I32" s="122" t="s">
        <v>152</v>
      </c>
    </row>
    <row r="33" spans="1:9" x14ac:dyDescent="0.2">
      <c r="A33" s="701"/>
      <c r="B33" s="702"/>
      <c r="C33" s="116" t="s">
        <v>359</v>
      </c>
      <c r="D33" s="121" t="s">
        <v>155</v>
      </c>
      <c r="E33" s="121" t="s">
        <v>154</v>
      </c>
      <c r="F33" s="122" t="s">
        <v>152</v>
      </c>
      <c r="G33" s="121" t="s">
        <v>155</v>
      </c>
      <c r="H33" s="121" t="s">
        <v>152</v>
      </c>
      <c r="I33" s="122" t="s">
        <v>152</v>
      </c>
    </row>
    <row r="34" spans="1:9" x14ac:dyDescent="0.2">
      <c r="A34" s="701"/>
      <c r="B34" s="702"/>
      <c r="C34" s="116" t="s">
        <v>360</v>
      </c>
      <c r="D34" s="121" t="s">
        <v>152</v>
      </c>
      <c r="E34" s="121" t="s">
        <v>154</v>
      </c>
      <c r="F34" s="121" t="s">
        <v>155</v>
      </c>
      <c r="G34" s="122" t="s">
        <v>152</v>
      </c>
      <c r="H34" s="122" t="s">
        <v>152</v>
      </c>
      <c r="I34" s="122" t="s">
        <v>155</v>
      </c>
    </row>
    <row r="35" spans="1:9" x14ac:dyDescent="0.2">
      <c r="A35" s="701"/>
      <c r="B35" s="702"/>
      <c r="C35" s="110" t="s">
        <v>361</v>
      </c>
      <c r="D35" s="121" t="s">
        <v>152</v>
      </c>
      <c r="E35" s="121" t="s">
        <v>154</v>
      </c>
      <c r="F35" s="122" t="s">
        <v>155</v>
      </c>
      <c r="G35" s="121" t="s">
        <v>152</v>
      </c>
      <c r="H35" s="121" t="s">
        <v>152</v>
      </c>
      <c r="I35" s="122" t="s">
        <v>155</v>
      </c>
    </row>
    <row r="36" spans="1:9" x14ac:dyDescent="0.2">
      <c r="A36" s="701" t="s">
        <v>173</v>
      </c>
      <c r="B36" s="702" t="s">
        <v>383</v>
      </c>
      <c r="C36" s="123" t="s">
        <v>362</v>
      </c>
      <c r="D36" s="121" t="s">
        <v>155</v>
      </c>
      <c r="E36" s="121" t="s">
        <v>154</v>
      </c>
      <c r="F36" s="121" t="s">
        <v>157</v>
      </c>
      <c r="G36" s="122" t="s">
        <v>156</v>
      </c>
      <c r="H36" s="122" t="s">
        <v>154</v>
      </c>
      <c r="I36" s="122" t="s">
        <v>152</v>
      </c>
    </row>
    <row r="37" spans="1:9" x14ac:dyDescent="0.2">
      <c r="A37" s="701"/>
      <c r="B37" s="702"/>
      <c r="C37" s="110" t="s">
        <v>363</v>
      </c>
      <c r="D37" s="119" t="s">
        <v>154</v>
      </c>
      <c r="E37" s="119" t="s">
        <v>154</v>
      </c>
      <c r="F37" s="119" t="s">
        <v>152</v>
      </c>
      <c r="G37" s="119" t="s">
        <v>154</v>
      </c>
      <c r="H37" s="119" t="s">
        <v>154</v>
      </c>
      <c r="I37" s="119" t="s">
        <v>155</v>
      </c>
    </row>
    <row r="38" spans="1:9" x14ac:dyDescent="0.2">
      <c r="A38" s="701"/>
      <c r="B38" s="702"/>
      <c r="C38" s="117" t="s">
        <v>364</v>
      </c>
      <c r="D38" s="119" t="s">
        <v>155</v>
      </c>
      <c r="E38" s="119" t="s">
        <v>154</v>
      </c>
      <c r="F38" s="119" t="s">
        <v>152</v>
      </c>
      <c r="G38" s="119" t="s">
        <v>155</v>
      </c>
      <c r="H38" s="119" t="s">
        <v>155</v>
      </c>
      <c r="I38" s="119" t="s">
        <v>154</v>
      </c>
    </row>
    <row r="39" spans="1:9" x14ac:dyDescent="0.2">
      <c r="A39" s="701"/>
      <c r="B39" s="702"/>
      <c r="C39" s="117" t="s">
        <v>365</v>
      </c>
      <c r="D39" s="119" t="s">
        <v>155</v>
      </c>
      <c r="E39" s="119" t="s">
        <v>154</v>
      </c>
      <c r="F39" s="119" t="s">
        <v>152</v>
      </c>
      <c r="G39" s="119" t="s">
        <v>155</v>
      </c>
      <c r="H39" s="119" t="s">
        <v>155</v>
      </c>
      <c r="I39" s="119" t="s">
        <v>154</v>
      </c>
    </row>
    <row r="40" spans="1:9" x14ac:dyDescent="0.2">
      <c r="A40" s="701"/>
      <c r="B40" s="702"/>
      <c r="C40" s="117" t="s">
        <v>366</v>
      </c>
      <c r="D40" s="119" t="s">
        <v>155</v>
      </c>
      <c r="E40" s="119" t="s">
        <v>154</v>
      </c>
      <c r="F40" s="119" t="s">
        <v>152</v>
      </c>
      <c r="G40" s="119" t="s">
        <v>155</v>
      </c>
      <c r="H40" s="119" t="s">
        <v>155</v>
      </c>
      <c r="I40" s="119" t="s">
        <v>154</v>
      </c>
    </row>
    <row r="41" spans="1:9" ht="22.5" x14ac:dyDescent="0.2">
      <c r="A41" s="701"/>
      <c r="B41" s="463" t="s">
        <v>285</v>
      </c>
      <c r="C41" s="117" t="s">
        <v>367</v>
      </c>
      <c r="D41" s="121" t="s">
        <v>155</v>
      </c>
      <c r="E41" s="121" t="s">
        <v>154</v>
      </c>
      <c r="F41" s="121" t="s">
        <v>152</v>
      </c>
      <c r="G41" s="122" t="s">
        <v>154</v>
      </c>
      <c r="H41" s="122" t="s">
        <v>152</v>
      </c>
      <c r="I41" s="122" t="s">
        <v>152</v>
      </c>
    </row>
    <row r="42" spans="1:9" s="114" customFormat="1" ht="9.75" customHeight="1" x14ac:dyDescent="0.2">
      <c r="A42" s="701" t="s">
        <v>135</v>
      </c>
      <c r="B42" s="702" t="s">
        <v>384</v>
      </c>
      <c r="C42" s="116" t="s">
        <v>368</v>
      </c>
      <c r="D42" s="114" t="s">
        <v>155</v>
      </c>
      <c r="E42" s="114" t="s">
        <v>154</v>
      </c>
      <c r="F42" s="114" t="s">
        <v>152</v>
      </c>
      <c r="G42" s="114" t="s">
        <v>155</v>
      </c>
      <c r="H42" s="114" t="s">
        <v>152</v>
      </c>
      <c r="I42" s="114" t="s">
        <v>154</v>
      </c>
    </row>
    <row r="43" spans="1:9" s="114" customFormat="1" x14ac:dyDescent="0.2">
      <c r="A43" s="701"/>
      <c r="B43" s="702"/>
      <c r="C43" s="117" t="s">
        <v>369</v>
      </c>
      <c r="D43" s="114" t="s">
        <v>152</v>
      </c>
      <c r="E43" s="114" t="s">
        <v>154</v>
      </c>
      <c r="F43" s="114" t="s">
        <v>155</v>
      </c>
      <c r="G43" s="114" t="s">
        <v>152</v>
      </c>
      <c r="H43" s="114" t="s">
        <v>155</v>
      </c>
      <c r="I43" s="114" t="s">
        <v>154</v>
      </c>
    </row>
    <row r="44" spans="1:9" x14ac:dyDescent="0.2">
      <c r="A44" s="701"/>
      <c r="B44" s="702" t="s">
        <v>385</v>
      </c>
      <c r="C44" s="113" t="s">
        <v>370</v>
      </c>
      <c r="D44" s="119" t="s">
        <v>152</v>
      </c>
      <c r="E44" s="119" t="s">
        <v>154</v>
      </c>
      <c r="F44" s="119" t="s">
        <v>155</v>
      </c>
      <c r="G44" s="119" t="s">
        <v>152</v>
      </c>
      <c r="H44" s="119" t="s">
        <v>155</v>
      </c>
      <c r="I44" s="119" t="s">
        <v>152</v>
      </c>
    </row>
    <row r="45" spans="1:9" x14ac:dyDescent="0.2">
      <c r="A45" s="701"/>
      <c r="B45" s="702"/>
      <c r="C45" s="116" t="s">
        <v>371</v>
      </c>
      <c r="D45" s="119" t="s">
        <v>152</v>
      </c>
      <c r="E45" s="119" t="s">
        <v>154</v>
      </c>
      <c r="F45" s="119" t="s">
        <v>155</v>
      </c>
      <c r="G45" s="119" t="s">
        <v>152</v>
      </c>
      <c r="H45" s="119" t="s">
        <v>155</v>
      </c>
      <c r="I45" s="119" t="s">
        <v>152</v>
      </c>
    </row>
    <row r="46" spans="1:9" x14ac:dyDescent="0.2">
      <c r="A46" s="701" t="s">
        <v>290</v>
      </c>
      <c r="B46" s="702" t="s">
        <v>386</v>
      </c>
      <c r="C46" s="113" t="s">
        <v>372</v>
      </c>
      <c r="D46" s="119" t="s">
        <v>155</v>
      </c>
      <c r="E46" s="119" t="s">
        <v>154</v>
      </c>
      <c r="F46" s="119" t="s">
        <v>152</v>
      </c>
      <c r="G46" s="119" t="s">
        <v>154</v>
      </c>
      <c r="H46" s="119" t="s">
        <v>154</v>
      </c>
      <c r="I46" s="119" t="s">
        <v>152</v>
      </c>
    </row>
    <row r="47" spans="1:9" x14ac:dyDescent="0.2">
      <c r="A47" s="701"/>
      <c r="B47" s="702"/>
      <c r="C47" s="113" t="s">
        <v>373</v>
      </c>
      <c r="D47" s="119" t="s">
        <v>155</v>
      </c>
      <c r="E47" s="119" t="s">
        <v>154</v>
      </c>
      <c r="F47" s="119" t="s">
        <v>152</v>
      </c>
      <c r="G47" s="119" t="s">
        <v>154</v>
      </c>
      <c r="H47" s="119" t="s">
        <v>154</v>
      </c>
      <c r="I47" s="119" t="s">
        <v>152</v>
      </c>
    </row>
    <row r="48" spans="1:9" x14ac:dyDescent="0.2">
      <c r="A48" s="701"/>
      <c r="B48" s="702"/>
      <c r="C48" s="113" t="s">
        <v>374</v>
      </c>
      <c r="D48" s="119" t="s">
        <v>155</v>
      </c>
      <c r="E48" s="119" t="s">
        <v>154</v>
      </c>
      <c r="F48" s="119" t="s">
        <v>152</v>
      </c>
      <c r="G48" s="119" t="s">
        <v>154</v>
      </c>
      <c r="H48" s="119" t="s">
        <v>154</v>
      </c>
      <c r="I48" s="119" t="s">
        <v>152</v>
      </c>
    </row>
    <row r="49" spans="1:10" x14ac:dyDescent="0.2">
      <c r="A49" s="701"/>
      <c r="B49" s="702" t="s">
        <v>174</v>
      </c>
      <c r="C49" s="113" t="s">
        <v>375</v>
      </c>
      <c r="D49" s="119" t="s">
        <v>155</v>
      </c>
      <c r="E49" s="119" t="s">
        <v>154</v>
      </c>
      <c r="F49" s="119" t="s">
        <v>152</v>
      </c>
      <c r="G49" s="119" t="s">
        <v>154</v>
      </c>
      <c r="H49" s="119" t="s">
        <v>154</v>
      </c>
      <c r="I49" s="119" t="s">
        <v>152</v>
      </c>
    </row>
    <row r="50" spans="1:10" ht="13.9" customHeight="1" x14ac:dyDescent="0.2">
      <c r="A50" s="701"/>
      <c r="B50" s="702"/>
      <c r="C50" s="117" t="s">
        <v>376</v>
      </c>
      <c r="D50" s="126" t="s">
        <v>255</v>
      </c>
      <c r="E50" s="112" t="s">
        <v>256</v>
      </c>
      <c r="F50" s="112" t="s">
        <v>257</v>
      </c>
      <c r="G50" s="112" t="s">
        <v>258</v>
      </c>
      <c r="H50" s="112" t="s">
        <v>256</v>
      </c>
      <c r="I50" s="112" t="s">
        <v>257</v>
      </c>
    </row>
    <row r="51" spans="1:10" x14ac:dyDescent="0.2">
      <c r="A51" s="127"/>
      <c r="B51" s="127"/>
    </row>
    <row r="52" spans="1:10" x14ac:dyDescent="0.2">
      <c r="A52" s="127"/>
      <c r="B52" s="127"/>
      <c r="D52" s="126">
        <v>4</v>
      </c>
      <c r="E52" s="112">
        <v>1</v>
      </c>
      <c r="F52" s="112">
        <v>0</v>
      </c>
      <c r="G52" s="112">
        <v>2</v>
      </c>
      <c r="H52" s="112">
        <v>1</v>
      </c>
      <c r="I52" s="112">
        <v>1</v>
      </c>
      <c r="J52" s="112">
        <v>0</v>
      </c>
    </row>
    <row r="53" spans="1:10" x14ac:dyDescent="0.2">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A37" workbookViewId="0">
      <selection activeCell="C26" sqref="C26"/>
    </sheetView>
  </sheetViews>
  <sheetFormatPr defaultColWidth="9.140625" defaultRowHeight="15" x14ac:dyDescent="0.25"/>
  <cols>
    <col min="1" max="1" width="17" style="131" customWidth="1"/>
    <col min="2" max="2" width="62.85546875" style="131" customWidth="1"/>
    <col min="3" max="3" width="15.7109375" style="131" customWidth="1"/>
    <col min="4" max="4" width="4.5703125" style="43" hidden="1" customWidth="1"/>
    <col min="5" max="6" width="9.5703125" style="145" bestFit="1" customWidth="1"/>
    <col min="7" max="7" width="10.42578125" style="145" bestFit="1" customWidth="1"/>
    <col min="8" max="8" width="9.5703125" style="145" bestFit="1" customWidth="1"/>
    <col min="9" max="9" width="7.5703125" style="145" customWidth="1"/>
    <col min="10" max="10" width="8.28515625" style="145" customWidth="1"/>
    <col min="11" max="11" width="7" style="145" customWidth="1"/>
    <col min="12" max="16384" width="9.140625" style="43"/>
  </cols>
  <sheetData>
    <row r="1" spans="1:11" ht="15" customHeight="1" x14ac:dyDescent="0.25">
      <c r="A1" s="150" t="s">
        <v>407</v>
      </c>
      <c r="B1" s="150"/>
      <c r="C1" s="703" t="s">
        <v>408</v>
      </c>
      <c r="D1" s="705" t="s">
        <v>189</v>
      </c>
      <c r="E1" s="140" t="s">
        <v>136</v>
      </c>
      <c r="F1" s="140" t="s">
        <v>137</v>
      </c>
      <c r="G1" s="140" t="s">
        <v>138</v>
      </c>
      <c r="H1" s="140" t="s">
        <v>139</v>
      </c>
      <c r="I1" s="140"/>
      <c r="J1" s="140"/>
      <c r="K1" s="140" t="s">
        <v>140</v>
      </c>
    </row>
    <row r="2" spans="1:11" ht="24.75" thickBot="1" x14ac:dyDescent="0.3">
      <c r="A2" s="151"/>
      <c r="B2" s="151"/>
      <c r="C2" s="704"/>
      <c r="D2" s="706"/>
      <c r="E2" s="141"/>
      <c r="F2" s="141"/>
      <c r="G2" s="141"/>
      <c r="H2" s="143" t="s">
        <v>409</v>
      </c>
      <c r="I2" s="143" t="s">
        <v>463</v>
      </c>
      <c r="J2" s="143" t="s">
        <v>410</v>
      </c>
      <c r="K2" s="143"/>
    </row>
    <row r="3" spans="1:11" ht="15" customHeight="1" thickBot="1" x14ac:dyDescent="0.3">
      <c r="A3" s="152" t="s">
        <v>142</v>
      </c>
      <c r="B3" s="152"/>
      <c r="C3" s="152"/>
      <c r="D3" s="152"/>
      <c r="E3" s="152"/>
      <c r="F3" s="152"/>
      <c r="G3" s="152"/>
      <c r="H3" s="152"/>
      <c r="I3" s="152"/>
      <c r="J3" s="152"/>
      <c r="K3" s="152"/>
    </row>
    <row r="4" spans="1:11" ht="15" customHeight="1" x14ac:dyDescent="0.25">
      <c r="A4" s="707" t="s">
        <v>9</v>
      </c>
      <c r="B4" s="147" t="s">
        <v>329</v>
      </c>
      <c r="C4" s="136" t="s">
        <v>411</v>
      </c>
      <c r="D4" s="132" t="s">
        <v>430</v>
      </c>
      <c r="E4" s="144">
        <v>0.5665</v>
      </c>
      <c r="F4" s="144">
        <v>0.51500000000000001</v>
      </c>
      <c r="G4" s="144">
        <v>0.46350000000000002</v>
      </c>
      <c r="H4" s="144">
        <v>0.5665</v>
      </c>
      <c r="I4" s="144">
        <v>0.51500000000000001</v>
      </c>
      <c r="J4" s="144">
        <v>0.46350000000000002</v>
      </c>
      <c r="K4" s="144">
        <v>0.5665</v>
      </c>
    </row>
    <row r="5" spans="1:11" ht="15" customHeight="1" x14ac:dyDescent="0.25">
      <c r="A5" s="708"/>
      <c r="B5" s="148" t="s">
        <v>330</v>
      </c>
      <c r="C5" s="137" t="s">
        <v>411</v>
      </c>
      <c r="D5" s="133" t="s">
        <v>431</v>
      </c>
      <c r="E5" s="145">
        <v>10.8</v>
      </c>
      <c r="F5" s="145">
        <v>12</v>
      </c>
      <c r="G5" s="145">
        <v>13.2</v>
      </c>
      <c r="H5" s="145">
        <v>10.8</v>
      </c>
      <c r="I5" s="145">
        <v>12</v>
      </c>
      <c r="J5" s="145">
        <v>13.2</v>
      </c>
      <c r="K5" s="145">
        <v>10.8</v>
      </c>
    </row>
    <row r="6" spans="1:11" ht="15" customHeight="1" thickBot="1" x14ac:dyDescent="0.3">
      <c r="A6" s="709"/>
      <c r="B6" s="142" t="s">
        <v>331</v>
      </c>
      <c r="C6" s="139" t="s">
        <v>219</v>
      </c>
      <c r="D6" s="134" t="s">
        <v>432</v>
      </c>
      <c r="E6" s="146">
        <v>30.8</v>
      </c>
      <c r="F6" s="146">
        <v>28</v>
      </c>
      <c r="G6" s="146">
        <v>25.2</v>
      </c>
      <c r="H6" s="146">
        <v>28</v>
      </c>
      <c r="I6" s="146">
        <v>26.6</v>
      </c>
      <c r="J6" s="146">
        <v>25.2</v>
      </c>
      <c r="K6" s="146">
        <v>30.8</v>
      </c>
    </row>
    <row r="7" spans="1:11" ht="15" customHeight="1" x14ac:dyDescent="0.25">
      <c r="A7" s="707" t="s">
        <v>141</v>
      </c>
      <c r="B7" s="148" t="s">
        <v>332</v>
      </c>
      <c r="C7" s="137" t="s">
        <v>411</v>
      </c>
      <c r="D7" s="133" t="s">
        <v>433</v>
      </c>
      <c r="E7" s="145">
        <v>7.5000000000000002E-4</v>
      </c>
      <c r="F7" s="145">
        <v>0</v>
      </c>
      <c r="G7" s="145">
        <v>0</v>
      </c>
      <c r="H7" s="145">
        <v>7.5000000000000002E-4</v>
      </c>
      <c r="I7" s="145">
        <v>7.5000000000000002E-4</v>
      </c>
      <c r="J7" s="145">
        <v>7.5000000000000002E-4</v>
      </c>
      <c r="K7" s="145">
        <v>7.5000000000000002E-4</v>
      </c>
    </row>
    <row r="8" spans="1:11" ht="15" customHeight="1" x14ac:dyDescent="0.25">
      <c r="A8" s="710"/>
      <c r="B8" s="148" t="s">
        <v>333</v>
      </c>
      <c r="C8" s="137" t="s">
        <v>411</v>
      </c>
      <c r="D8" s="133" t="s">
        <v>434</v>
      </c>
      <c r="E8" s="145">
        <v>5.0000000000000001E-4</v>
      </c>
      <c r="F8" s="145">
        <v>0</v>
      </c>
      <c r="G8" s="145">
        <v>0</v>
      </c>
      <c r="H8" s="145">
        <v>5.0000000000000001E-4</v>
      </c>
      <c r="I8" s="145">
        <v>5.0000000000000001E-4</v>
      </c>
      <c r="J8" s="145">
        <v>5.0000000000000001E-4</v>
      </c>
      <c r="K8" s="145">
        <v>5.0000000000000001E-4</v>
      </c>
    </row>
    <row r="9" spans="1:11" ht="15" customHeight="1" x14ac:dyDescent="0.25">
      <c r="A9" s="710"/>
      <c r="B9" s="148" t="s">
        <v>435</v>
      </c>
      <c r="C9" s="137" t="s">
        <v>395</v>
      </c>
      <c r="D9" s="133" t="s">
        <v>436</v>
      </c>
      <c r="E9" s="145">
        <v>2.5000000000000001E-4</v>
      </c>
      <c r="F9" s="145">
        <v>0</v>
      </c>
      <c r="G9" s="145">
        <v>-2E-3</v>
      </c>
      <c r="H9" s="145">
        <v>2.5000000000000001E-4</v>
      </c>
      <c r="I9" s="145">
        <v>1.25E-4</v>
      </c>
      <c r="J9" s="145">
        <v>0</v>
      </c>
      <c r="K9" s="145">
        <v>2.5000000000000001E-4</v>
      </c>
    </row>
    <row r="10" spans="1:11" ht="15" customHeight="1" x14ac:dyDescent="0.25">
      <c r="A10" s="710"/>
      <c r="B10" s="148" t="s">
        <v>437</v>
      </c>
      <c r="C10" s="137" t="s">
        <v>395</v>
      </c>
      <c r="D10" s="133" t="s">
        <v>438</v>
      </c>
      <c r="E10" s="145">
        <v>5.0000000000000001E-4</v>
      </c>
      <c r="F10" s="145">
        <v>0</v>
      </c>
      <c r="G10" s="145">
        <v>-2E-3</v>
      </c>
      <c r="H10" s="145">
        <v>5.0000000000000001E-4</v>
      </c>
      <c r="I10" s="145">
        <v>2.5000000000000001E-4</v>
      </c>
      <c r="J10" s="145">
        <v>0</v>
      </c>
      <c r="K10" s="145">
        <v>5.0000000000000001E-4</v>
      </c>
    </row>
    <row r="11" spans="1:11" ht="15" customHeight="1" x14ac:dyDescent="0.25">
      <c r="A11" s="710"/>
      <c r="B11" s="148" t="s">
        <v>336</v>
      </c>
      <c r="C11" s="137" t="s">
        <v>395</v>
      </c>
      <c r="D11" s="133" t="s">
        <v>439</v>
      </c>
      <c r="E11" s="145">
        <v>6.4999999999999997E-3</v>
      </c>
      <c r="F11" s="145">
        <v>0</v>
      </c>
      <c r="G11" s="145">
        <v>-5.0000000000000001E-4</v>
      </c>
      <c r="H11" s="145">
        <v>3.0000000000000001E-3</v>
      </c>
      <c r="I11" s="145">
        <v>1.25E-3</v>
      </c>
      <c r="J11" s="145">
        <v>-5.0000000000000001E-4</v>
      </c>
      <c r="K11" s="145">
        <v>6.4999999999999997E-3</v>
      </c>
    </row>
    <row r="12" spans="1:11" ht="15" customHeight="1" thickBot="1" x14ac:dyDescent="0.3">
      <c r="A12" s="709"/>
      <c r="B12" s="142" t="s">
        <v>337</v>
      </c>
      <c r="C12" s="139" t="s">
        <v>395</v>
      </c>
      <c r="D12" s="134" t="s">
        <v>440</v>
      </c>
      <c r="E12" s="146">
        <v>6.4000000000000003E-3</v>
      </c>
      <c r="F12" s="146">
        <v>0</v>
      </c>
      <c r="G12" s="146">
        <v>-4.4999999999999999E-4</v>
      </c>
      <c r="H12" s="146">
        <v>2E-3</v>
      </c>
      <c r="I12" s="146">
        <v>7.7500000000000008E-4</v>
      </c>
      <c r="J12" s="146">
        <v>-4.4999999999999999E-4</v>
      </c>
      <c r="K12" s="154">
        <v>6.4000000000000003E-3</v>
      </c>
    </row>
    <row r="13" spans="1:11" ht="15" customHeight="1" x14ac:dyDescent="0.25">
      <c r="A13" s="707" t="s">
        <v>10</v>
      </c>
      <c r="B13" s="148" t="s">
        <v>338</v>
      </c>
      <c r="C13" s="137" t="s">
        <v>411</v>
      </c>
      <c r="D13" s="133" t="s">
        <v>441</v>
      </c>
      <c r="E13" s="145">
        <v>0.4375</v>
      </c>
      <c r="F13" s="145">
        <v>0.35</v>
      </c>
      <c r="G13" s="145">
        <v>0.26249999999999996</v>
      </c>
      <c r="H13" s="145">
        <v>0.35</v>
      </c>
      <c r="I13" s="145">
        <v>0.30624999999999997</v>
      </c>
      <c r="J13" s="145">
        <v>0.26249999999999996</v>
      </c>
      <c r="K13" s="145">
        <v>0.4375</v>
      </c>
    </row>
    <row r="14" spans="1:11" ht="15" customHeight="1" thickBot="1" x14ac:dyDescent="0.3">
      <c r="A14" s="709"/>
      <c r="B14" s="142" t="s">
        <v>339</v>
      </c>
      <c r="C14" s="139" t="s">
        <v>411</v>
      </c>
      <c r="D14" s="134" t="s">
        <v>442</v>
      </c>
      <c r="E14" s="146">
        <v>0.9375</v>
      </c>
      <c r="F14" s="146">
        <v>0.75</v>
      </c>
      <c r="G14" s="146">
        <v>0.5625</v>
      </c>
      <c r="H14" s="146">
        <v>0.75</v>
      </c>
      <c r="I14" s="146">
        <v>0.65625</v>
      </c>
      <c r="J14" s="146">
        <v>0.5625</v>
      </c>
      <c r="K14" s="146">
        <v>0.9375</v>
      </c>
    </row>
    <row r="15" spans="1:11" ht="15" customHeight="1" x14ac:dyDescent="0.25">
      <c r="A15" s="707" t="s">
        <v>170</v>
      </c>
      <c r="B15" s="148" t="s">
        <v>340</v>
      </c>
      <c r="C15" s="137" t="s">
        <v>411</v>
      </c>
      <c r="D15" s="133" t="s">
        <v>443</v>
      </c>
      <c r="E15" s="145">
        <v>1.875</v>
      </c>
      <c r="F15" s="145">
        <v>1.25</v>
      </c>
      <c r="G15" s="145">
        <v>0.625</v>
      </c>
      <c r="H15" s="145">
        <v>1.25</v>
      </c>
      <c r="I15" s="145">
        <v>1.5625</v>
      </c>
      <c r="J15" s="145">
        <v>1.875</v>
      </c>
      <c r="K15" s="145">
        <v>1.875</v>
      </c>
    </row>
    <row r="16" spans="1:11" ht="15" customHeight="1" thickBot="1" x14ac:dyDescent="0.3">
      <c r="A16" s="709"/>
      <c r="B16" s="142" t="s">
        <v>341</v>
      </c>
      <c r="C16" s="139" t="s">
        <v>411</v>
      </c>
      <c r="D16" s="134" t="s">
        <v>443</v>
      </c>
      <c r="E16" s="146">
        <v>2.5</v>
      </c>
      <c r="F16" s="146">
        <v>5</v>
      </c>
      <c r="G16" s="146">
        <v>7.5</v>
      </c>
      <c r="H16" s="146">
        <v>5</v>
      </c>
      <c r="I16" s="146">
        <v>3.75</v>
      </c>
      <c r="J16" s="146">
        <v>2.5</v>
      </c>
      <c r="K16" s="146">
        <v>2.5</v>
      </c>
    </row>
    <row r="17" spans="1:11" ht="15" customHeight="1" thickBot="1" x14ac:dyDescent="0.3">
      <c r="A17" s="152" t="s">
        <v>144</v>
      </c>
      <c r="B17" s="152"/>
      <c r="C17" s="152"/>
      <c r="D17" s="152"/>
      <c r="E17" s="152"/>
      <c r="F17" s="152"/>
      <c r="G17" s="152"/>
      <c r="H17" s="152"/>
      <c r="I17" s="152"/>
      <c r="J17" s="152"/>
      <c r="K17" s="152"/>
    </row>
    <row r="18" spans="1:11" ht="15" customHeight="1" x14ac:dyDescent="0.25">
      <c r="A18" s="707" t="s">
        <v>394</v>
      </c>
      <c r="B18" s="147" t="s">
        <v>342</v>
      </c>
      <c r="C18" s="136" t="s">
        <v>411</v>
      </c>
      <c r="D18" s="135" t="s">
        <v>444</v>
      </c>
      <c r="E18" s="144">
        <v>0.75</v>
      </c>
      <c r="F18" s="144">
        <v>1</v>
      </c>
      <c r="G18" s="144">
        <v>1.25</v>
      </c>
      <c r="H18" s="144">
        <v>0.75</v>
      </c>
      <c r="I18" s="144">
        <v>1</v>
      </c>
      <c r="J18" s="144">
        <v>1.25</v>
      </c>
      <c r="K18" s="144">
        <v>0.875</v>
      </c>
    </row>
    <row r="19" spans="1:11" ht="15" customHeight="1" thickBot="1" x14ac:dyDescent="0.3">
      <c r="A19" s="709"/>
      <c r="B19" s="142" t="s">
        <v>343</v>
      </c>
      <c r="C19" s="139" t="s">
        <v>411</v>
      </c>
      <c r="D19" s="130" t="s">
        <v>445</v>
      </c>
      <c r="E19" s="145">
        <v>3</v>
      </c>
      <c r="F19" s="145">
        <v>2</v>
      </c>
      <c r="G19" s="145">
        <v>1</v>
      </c>
      <c r="H19" s="145">
        <v>2</v>
      </c>
      <c r="I19" s="145">
        <v>1.5</v>
      </c>
      <c r="J19" s="145">
        <v>1</v>
      </c>
      <c r="K19" s="145">
        <v>1</v>
      </c>
    </row>
    <row r="20" spans="1:11" ht="15" customHeight="1" x14ac:dyDescent="0.25">
      <c r="A20" s="707" t="s">
        <v>446</v>
      </c>
      <c r="B20" s="147" t="s">
        <v>344</v>
      </c>
      <c r="C20" s="136" t="s">
        <v>208</v>
      </c>
      <c r="D20" s="138" t="s">
        <v>447</v>
      </c>
      <c r="E20" s="144">
        <v>2.4999999999999998E-6</v>
      </c>
      <c r="F20" s="144">
        <v>1.9999999999999999E-6</v>
      </c>
      <c r="G20" s="144">
        <v>1.5E-6</v>
      </c>
      <c r="H20" s="144">
        <v>1.9999999999999999E-6</v>
      </c>
      <c r="I20" s="144">
        <v>1.75E-6</v>
      </c>
      <c r="J20" s="144">
        <v>1.5E-6</v>
      </c>
      <c r="K20" s="144">
        <v>2.4999999999999998E-6</v>
      </c>
    </row>
    <row r="21" spans="1:11" ht="15" customHeight="1" x14ac:dyDescent="0.25">
      <c r="A21" s="710"/>
      <c r="B21" s="148" t="s">
        <v>345</v>
      </c>
      <c r="C21" s="137" t="s">
        <v>411</v>
      </c>
      <c r="D21" s="129" t="s">
        <v>448</v>
      </c>
      <c r="E21" s="145">
        <v>0.44999999999999996</v>
      </c>
      <c r="F21" s="145">
        <v>0.6</v>
      </c>
      <c r="G21" s="145">
        <v>0.75</v>
      </c>
      <c r="H21" s="145">
        <v>0.44999999999999996</v>
      </c>
      <c r="I21" s="145">
        <v>0.6</v>
      </c>
      <c r="J21" s="145">
        <v>0.75</v>
      </c>
      <c r="K21" s="145">
        <v>0.52500000000000002</v>
      </c>
    </row>
    <row r="22" spans="1:11" ht="15" customHeight="1" x14ac:dyDescent="0.25">
      <c r="A22" s="710"/>
      <c r="B22" s="148" t="s">
        <v>346</v>
      </c>
      <c r="C22" s="137" t="s">
        <v>411</v>
      </c>
      <c r="D22" s="129" t="s">
        <v>449</v>
      </c>
      <c r="E22" s="145">
        <v>0.40500000000000003</v>
      </c>
      <c r="F22" s="145">
        <v>0.54</v>
      </c>
      <c r="G22" s="145">
        <v>0.67500000000000004</v>
      </c>
      <c r="H22" s="145">
        <v>0.40500000000000003</v>
      </c>
      <c r="I22" s="145">
        <v>0.54</v>
      </c>
      <c r="J22" s="145">
        <v>0.67500000000000004</v>
      </c>
      <c r="K22" s="145">
        <v>0.47250000000000003</v>
      </c>
    </row>
    <row r="23" spans="1:11" ht="15" customHeight="1" x14ac:dyDescent="0.25">
      <c r="A23" s="710"/>
      <c r="B23" s="148" t="s">
        <v>347</v>
      </c>
      <c r="C23" s="137" t="s">
        <v>411</v>
      </c>
      <c r="D23" s="129" t="s">
        <v>450</v>
      </c>
      <c r="E23" s="145">
        <v>0.66749999999999998</v>
      </c>
      <c r="F23" s="145">
        <v>0.89</v>
      </c>
      <c r="G23" s="145">
        <v>1.1125</v>
      </c>
      <c r="H23" s="145">
        <v>0.66749999999999998</v>
      </c>
      <c r="I23" s="145">
        <v>0.89</v>
      </c>
      <c r="J23" s="145">
        <v>1.1125</v>
      </c>
      <c r="K23" s="145">
        <v>0.77875000000000005</v>
      </c>
    </row>
    <row r="24" spans="1:11" ht="15" customHeight="1" x14ac:dyDescent="0.25">
      <c r="A24" s="710"/>
      <c r="B24" s="148" t="s">
        <v>348</v>
      </c>
      <c r="C24" s="137" t="s">
        <v>411</v>
      </c>
      <c r="D24" s="129" t="s">
        <v>451</v>
      </c>
      <c r="E24" s="145">
        <v>1.25</v>
      </c>
      <c r="F24" s="145">
        <v>1</v>
      </c>
      <c r="G24" s="145">
        <v>0.75</v>
      </c>
      <c r="H24" s="145">
        <v>1.25</v>
      </c>
      <c r="I24" s="145">
        <v>1</v>
      </c>
      <c r="J24" s="145">
        <v>0.75</v>
      </c>
      <c r="K24" s="145">
        <v>1.125</v>
      </c>
    </row>
    <row r="25" spans="1:11" ht="15" customHeight="1" thickBot="1" x14ac:dyDescent="0.3">
      <c r="A25" s="709"/>
      <c r="B25" s="142" t="s">
        <v>349</v>
      </c>
      <c r="C25" s="139" t="s">
        <v>411</v>
      </c>
      <c r="D25" s="130" t="s">
        <v>452</v>
      </c>
      <c r="E25" s="146">
        <v>0.8</v>
      </c>
      <c r="F25" s="146">
        <v>0.8</v>
      </c>
      <c r="G25" s="146">
        <v>1</v>
      </c>
      <c r="H25" s="146">
        <v>0.60000000000000009</v>
      </c>
      <c r="I25" s="146">
        <v>0.8</v>
      </c>
      <c r="J25" s="146">
        <v>1</v>
      </c>
      <c r="K25" s="146">
        <v>0.9</v>
      </c>
    </row>
    <row r="26" spans="1:11" ht="15" customHeight="1" thickBot="1" x14ac:dyDescent="0.3">
      <c r="A26" s="153" t="s">
        <v>172</v>
      </c>
      <c r="B26" s="153"/>
      <c r="C26" s="153"/>
      <c r="D26" s="153"/>
      <c r="E26" s="153"/>
      <c r="F26" s="153"/>
      <c r="G26" s="153"/>
      <c r="H26" s="153"/>
      <c r="I26" s="153"/>
      <c r="J26" s="153"/>
      <c r="K26" s="153"/>
    </row>
    <row r="27" spans="1:11" ht="15" customHeight="1" x14ac:dyDescent="0.25">
      <c r="A27" s="707" t="s">
        <v>392</v>
      </c>
      <c r="B27" s="148" t="s">
        <v>350</v>
      </c>
      <c r="C27" s="137" t="s">
        <v>411</v>
      </c>
      <c r="D27" s="129" t="s">
        <v>412</v>
      </c>
      <c r="E27" s="144">
        <v>10</v>
      </c>
      <c r="F27" s="144">
        <v>10</v>
      </c>
      <c r="G27" s="144">
        <v>10</v>
      </c>
      <c r="H27" s="144">
        <v>10</v>
      </c>
      <c r="I27" s="144">
        <v>10</v>
      </c>
      <c r="J27" s="144">
        <v>10</v>
      </c>
      <c r="K27" s="144">
        <v>10</v>
      </c>
    </row>
    <row r="28" spans="1:11" ht="15" customHeight="1" x14ac:dyDescent="0.25">
      <c r="A28" s="710"/>
      <c r="B28" s="148" t="s">
        <v>351</v>
      </c>
      <c r="C28" s="137" t="s">
        <v>213</v>
      </c>
      <c r="D28" s="129" t="s">
        <v>413</v>
      </c>
      <c r="E28" s="145">
        <v>9.8000000000000004E-2</v>
      </c>
      <c r="F28" s="145">
        <v>9.8000000000000004E-2</v>
      </c>
      <c r="G28" s="145">
        <v>4.9000000000000002E-2</v>
      </c>
      <c r="H28" s="145">
        <v>9.8000000000000004E-2</v>
      </c>
      <c r="I28" s="145">
        <v>9.8000000000000004E-2</v>
      </c>
      <c r="J28" s="145">
        <v>9.8000000000000004E-2</v>
      </c>
      <c r="K28" s="145">
        <v>0.14700000000000002</v>
      </c>
    </row>
    <row r="29" spans="1:11" ht="15" customHeight="1" x14ac:dyDescent="0.25">
      <c r="A29" s="710"/>
      <c r="B29" s="148" t="s">
        <v>352</v>
      </c>
      <c r="C29" s="137" t="s">
        <v>211</v>
      </c>
      <c r="D29" s="129" t="s">
        <v>414</v>
      </c>
      <c r="E29" s="145">
        <v>3E-11</v>
      </c>
      <c r="F29" s="145">
        <v>3E-11</v>
      </c>
      <c r="G29" s="145">
        <v>1.5E-11</v>
      </c>
      <c r="H29" s="145">
        <v>3E-11</v>
      </c>
      <c r="I29" s="145">
        <v>3E-11</v>
      </c>
      <c r="J29" s="145">
        <v>3E-11</v>
      </c>
      <c r="K29" s="145">
        <v>4.5E-11</v>
      </c>
    </row>
    <row r="30" spans="1:11" ht="15" customHeight="1" x14ac:dyDescent="0.25">
      <c r="A30" s="710"/>
      <c r="B30" s="148" t="s">
        <v>353</v>
      </c>
      <c r="C30" s="137" t="s">
        <v>211</v>
      </c>
      <c r="D30" s="129" t="s">
        <v>415</v>
      </c>
      <c r="E30" s="145">
        <v>2.8E-11</v>
      </c>
      <c r="F30" s="145">
        <v>2.8E-11</v>
      </c>
      <c r="G30" s="145">
        <v>1.4E-11</v>
      </c>
      <c r="H30" s="145">
        <v>2.8E-11</v>
      </c>
      <c r="I30" s="145">
        <v>2.8E-11</v>
      </c>
      <c r="J30" s="145">
        <v>2.8E-11</v>
      </c>
      <c r="K30" s="145">
        <v>4.1999999999999997E-11</v>
      </c>
    </row>
    <row r="31" spans="1:11" ht="15" customHeight="1" x14ac:dyDescent="0.25">
      <c r="A31" s="710"/>
      <c r="B31" s="148" t="s">
        <v>354</v>
      </c>
      <c r="C31" s="137" t="s">
        <v>411</v>
      </c>
      <c r="D31" s="129" t="s">
        <v>416</v>
      </c>
      <c r="E31" s="145">
        <v>0.03</v>
      </c>
      <c r="F31" s="145">
        <v>0.02</v>
      </c>
      <c r="G31" s="145">
        <v>0.01</v>
      </c>
      <c r="H31" s="145">
        <v>0.03</v>
      </c>
      <c r="I31" s="145">
        <v>0.02</v>
      </c>
      <c r="J31" s="145">
        <v>0.01</v>
      </c>
      <c r="K31" s="145">
        <v>0.02</v>
      </c>
    </row>
    <row r="32" spans="1:11" ht="15" customHeight="1" x14ac:dyDescent="0.25">
      <c r="A32" s="710"/>
      <c r="B32" s="148" t="s">
        <v>355</v>
      </c>
      <c r="C32" s="137" t="s">
        <v>411</v>
      </c>
      <c r="D32" s="129" t="s">
        <v>417</v>
      </c>
      <c r="E32" s="145">
        <v>1.375</v>
      </c>
      <c r="F32" s="145">
        <v>1.1000000000000001</v>
      </c>
      <c r="G32" s="145">
        <v>0.9900000000000001</v>
      </c>
      <c r="H32" s="145">
        <v>1.375</v>
      </c>
      <c r="I32" s="145">
        <v>1.1825000000000001</v>
      </c>
      <c r="J32" s="145">
        <v>0.9900000000000001</v>
      </c>
      <c r="K32" s="145">
        <v>1.1000000000000001</v>
      </c>
    </row>
    <row r="33" spans="1:11" s="308" customFormat="1" ht="15" customHeight="1" x14ac:dyDescent="0.25">
      <c r="A33" s="710"/>
      <c r="B33" s="148" t="s">
        <v>356</v>
      </c>
      <c r="C33" s="314" t="s">
        <v>219</v>
      </c>
      <c r="D33" s="129" t="s">
        <v>1062</v>
      </c>
      <c r="E33" s="145">
        <v>6</v>
      </c>
      <c r="F33" s="145">
        <v>6</v>
      </c>
      <c r="G33" s="145">
        <v>9</v>
      </c>
      <c r="H33" s="145">
        <v>6</v>
      </c>
      <c r="I33" s="145">
        <v>6</v>
      </c>
      <c r="J33" s="145">
        <v>6</v>
      </c>
      <c r="K33" s="145">
        <v>3</v>
      </c>
    </row>
    <row r="34" spans="1:11" ht="15" customHeight="1" thickBot="1" x14ac:dyDescent="0.3">
      <c r="A34" s="709"/>
      <c r="B34" s="142"/>
      <c r="C34" s="139"/>
      <c r="D34" s="130"/>
    </row>
    <row r="35" spans="1:11" ht="15" customHeight="1" x14ac:dyDescent="0.25">
      <c r="A35" s="707" t="s">
        <v>391</v>
      </c>
      <c r="B35" s="148" t="s">
        <v>357</v>
      </c>
      <c r="C35" s="137" t="s">
        <v>411</v>
      </c>
      <c r="D35" s="129" t="s">
        <v>418</v>
      </c>
      <c r="E35" s="144">
        <v>0.02</v>
      </c>
      <c r="F35" s="144">
        <v>0.04</v>
      </c>
      <c r="G35" s="144">
        <v>0.06</v>
      </c>
      <c r="H35" s="144">
        <v>0.02</v>
      </c>
      <c r="I35" s="144">
        <v>0.04</v>
      </c>
      <c r="J35" s="144">
        <v>0.06</v>
      </c>
      <c r="K35" s="144">
        <v>0.06</v>
      </c>
    </row>
    <row r="36" spans="1:11" ht="15" customHeight="1" x14ac:dyDescent="0.25">
      <c r="A36" s="710"/>
      <c r="B36" s="148" t="s">
        <v>358</v>
      </c>
      <c r="C36" s="137" t="s">
        <v>411</v>
      </c>
      <c r="D36" s="129" t="s">
        <v>419</v>
      </c>
      <c r="E36" s="145">
        <v>0.02</v>
      </c>
      <c r="F36" s="145">
        <v>0.04</v>
      </c>
      <c r="G36" s="145">
        <v>0.06</v>
      </c>
      <c r="H36" s="145">
        <v>0.02</v>
      </c>
      <c r="I36" s="145">
        <v>0.04</v>
      </c>
      <c r="J36" s="145">
        <v>0.06</v>
      </c>
      <c r="K36" s="145">
        <v>0.06</v>
      </c>
    </row>
    <row r="37" spans="1:11" ht="15" customHeight="1" x14ac:dyDescent="0.25">
      <c r="A37" s="710"/>
      <c r="B37" s="148" t="s">
        <v>359</v>
      </c>
      <c r="C37" s="137" t="s">
        <v>411</v>
      </c>
      <c r="D37" s="129" t="s">
        <v>420</v>
      </c>
      <c r="E37" s="145">
        <v>0.02</v>
      </c>
      <c r="F37" s="145">
        <v>0.04</v>
      </c>
      <c r="G37" s="145">
        <v>0.06</v>
      </c>
      <c r="H37" s="145">
        <v>0.02</v>
      </c>
      <c r="I37" s="145">
        <v>0.04</v>
      </c>
      <c r="J37" s="145">
        <v>0.06</v>
      </c>
      <c r="K37" s="145">
        <v>0.06</v>
      </c>
    </row>
    <row r="38" spans="1:11" ht="15" customHeight="1" x14ac:dyDescent="0.25">
      <c r="A38" s="710"/>
      <c r="B38" s="148" t="s">
        <v>360</v>
      </c>
      <c r="C38" s="137" t="s">
        <v>421</v>
      </c>
      <c r="D38" s="129" t="s">
        <v>422</v>
      </c>
      <c r="E38" s="145">
        <v>625000000000</v>
      </c>
      <c r="F38" s="145">
        <v>500000000000</v>
      </c>
      <c r="G38" s="145">
        <v>375000000000</v>
      </c>
      <c r="H38" s="145">
        <v>625000000000</v>
      </c>
      <c r="I38" s="145">
        <v>625000000000</v>
      </c>
      <c r="J38" s="145">
        <v>625000000000</v>
      </c>
      <c r="K38" s="145">
        <v>375000000000</v>
      </c>
    </row>
    <row r="39" spans="1:11" ht="15" customHeight="1" thickBot="1" x14ac:dyDescent="0.3">
      <c r="A39" s="709"/>
      <c r="B39" s="142" t="s">
        <v>361</v>
      </c>
      <c r="C39" s="139" t="s">
        <v>219</v>
      </c>
      <c r="D39" s="130" t="s">
        <v>423</v>
      </c>
      <c r="E39" s="146">
        <v>7.5</v>
      </c>
      <c r="F39" s="146">
        <v>5</v>
      </c>
      <c r="G39" s="146">
        <v>2.5</v>
      </c>
      <c r="H39" s="146">
        <v>7.5</v>
      </c>
      <c r="I39" s="146">
        <v>7.5</v>
      </c>
      <c r="J39" s="146">
        <v>7.5</v>
      </c>
      <c r="K39" s="146">
        <v>2.5</v>
      </c>
    </row>
    <row r="40" spans="1:11" ht="15" customHeight="1" thickBot="1" x14ac:dyDescent="0.3">
      <c r="A40" s="153" t="s">
        <v>173</v>
      </c>
      <c r="B40" s="153"/>
      <c r="C40" s="153"/>
      <c r="D40" s="153"/>
      <c r="E40" s="153"/>
      <c r="F40" s="153"/>
      <c r="G40" s="153"/>
      <c r="H40" s="153"/>
      <c r="I40" s="153"/>
      <c r="J40" s="153"/>
      <c r="K40" s="153"/>
    </row>
    <row r="41" spans="1:11" ht="15" customHeight="1" x14ac:dyDescent="0.25">
      <c r="A41" s="711" t="s">
        <v>424</v>
      </c>
      <c r="B41" s="149" t="s">
        <v>362</v>
      </c>
      <c r="C41" s="137" t="s">
        <v>227</v>
      </c>
      <c r="D41" s="129" t="s">
        <v>425</v>
      </c>
      <c r="E41" s="144">
        <v>200000</v>
      </c>
      <c r="F41" s="144">
        <v>400000</v>
      </c>
      <c r="G41" s="144">
        <v>500000</v>
      </c>
      <c r="H41" s="144">
        <v>300000</v>
      </c>
      <c r="I41" s="144">
        <v>350000</v>
      </c>
      <c r="J41" s="144">
        <v>400000</v>
      </c>
      <c r="K41" s="144">
        <v>600000</v>
      </c>
    </row>
    <row r="42" spans="1:11" ht="15" customHeight="1" x14ac:dyDescent="0.25">
      <c r="A42" s="712"/>
      <c r="B42" s="148" t="s">
        <v>363</v>
      </c>
      <c r="C42" s="137" t="s">
        <v>229</v>
      </c>
      <c r="D42" s="129" t="s">
        <v>426</v>
      </c>
      <c r="E42" s="145">
        <v>1000000000</v>
      </c>
      <c r="F42" s="145">
        <v>1000000000</v>
      </c>
      <c r="G42" s="145">
        <v>1500000000</v>
      </c>
      <c r="H42" s="145">
        <v>1000000000</v>
      </c>
      <c r="I42" s="145">
        <v>1000000000</v>
      </c>
      <c r="J42" s="145">
        <v>1000000000</v>
      </c>
      <c r="K42" s="145">
        <v>500000000</v>
      </c>
    </row>
    <row r="43" spans="1:11" ht="15" customHeight="1" x14ac:dyDescent="0.25">
      <c r="A43" s="712"/>
      <c r="B43" s="148" t="s">
        <v>364</v>
      </c>
      <c r="C43" s="137" t="s">
        <v>265</v>
      </c>
      <c r="D43" s="129" t="s">
        <v>427</v>
      </c>
      <c r="E43" s="145">
        <v>5</v>
      </c>
      <c r="F43" s="145">
        <v>10</v>
      </c>
      <c r="G43" s="145">
        <v>15</v>
      </c>
      <c r="H43" s="145">
        <v>5</v>
      </c>
      <c r="I43" s="145">
        <v>5</v>
      </c>
      <c r="J43" s="145">
        <v>5</v>
      </c>
      <c r="K43" s="145">
        <v>10</v>
      </c>
    </row>
    <row r="44" spans="1:11" ht="15" customHeight="1" x14ac:dyDescent="0.25">
      <c r="A44" s="712"/>
      <c r="B44" s="148" t="s">
        <v>365</v>
      </c>
      <c r="C44" s="137" t="s">
        <v>265</v>
      </c>
      <c r="D44" s="129" t="s">
        <v>428</v>
      </c>
      <c r="E44" s="145">
        <v>10</v>
      </c>
      <c r="F44" s="145">
        <v>20</v>
      </c>
      <c r="G44" s="145">
        <v>30</v>
      </c>
      <c r="H44" s="145">
        <v>10</v>
      </c>
      <c r="I44" s="145">
        <v>10</v>
      </c>
      <c r="J44" s="145">
        <v>10</v>
      </c>
      <c r="K44" s="145">
        <v>20</v>
      </c>
    </row>
    <row r="45" spans="1:11" ht="15" customHeight="1" x14ac:dyDescent="0.25">
      <c r="A45" s="712"/>
      <c r="B45" s="148" t="s">
        <v>366</v>
      </c>
      <c r="C45" s="137" t="s">
        <v>265</v>
      </c>
      <c r="D45" s="129" t="s">
        <v>429</v>
      </c>
      <c r="E45" s="145">
        <v>45000000</v>
      </c>
      <c r="F45" s="145">
        <v>30000000</v>
      </c>
      <c r="G45" s="145">
        <v>15000000</v>
      </c>
      <c r="H45" s="145">
        <v>45000000</v>
      </c>
      <c r="I45" s="145">
        <v>30000000</v>
      </c>
      <c r="J45" s="145">
        <v>15000000</v>
      </c>
      <c r="K45" s="145">
        <v>30000000</v>
      </c>
    </row>
    <row r="46" spans="1:11" s="308" customFormat="1" ht="15" customHeight="1" x14ac:dyDescent="0.25">
      <c r="A46" s="712"/>
      <c r="B46" s="148" t="s">
        <v>367</v>
      </c>
      <c r="C46" s="314" t="s">
        <v>462</v>
      </c>
      <c r="D46" s="129" t="s">
        <v>1063</v>
      </c>
      <c r="E46" s="145">
        <v>3750000000</v>
      </c>
      <c r="F46" s="145">
        <v>7500000000</v>
      </c>
      <c r="G46" s="145">
        <v>11250000000</v>
      </c>
      <c r="H46" s="145">
        <v>7500000000</v>
      </c>
      <c r="I46" s="145">
        <v>9375000000</v>
      </c>
      <c r="J46" s="145">
        <v>11250000000</v>
      </c>
      <c r="K46" s="145">
        <v>11250000000</v>
      </c>
    </row>
    <row r="47" spans="1:11" ht="15" customHeight="1" thickBot="1" x14ac:dyDescent="0.3">
      <c r="A47" s="713"/>
      <c r="B47" s="142"/>
      <c r="C47" s="142"/>
      <c r="D47" s="130"/>
      <c r="E47" s="141"/>
      <c r="F47" s="141"/>
      <c r="G47" s="141"/>
      <c r="H47" s="141"/>
      <c r="I47" s="141"/>
      <c r="J47" s="141"/>
      <c r="K47" s="141"/>
    </row>
    <row r="48" spans="1:11" ht="15" customHeight="1" thickBot="1" x14ac:dyDescent="0.3">
      <c r="A48" s="153" t="s">
        <v>135</v>
      </c>
      <c r="B48" s="153"/>
      <c r="C48" s="153"/>
      <c r="D48" s="153"/>
      <c r="E48" s="153"/>
      <c r="F48" s="153"/>
      <c r="G48" s="153"/>
      <c r="H48" s="153"/>
      <c r="I48" s="153"/>
      <c r="J48" s="153"/>
      <c r="K48" s="153"/>
    </row>
    <row r="49" spans="1:11" ht="15" customHeight="1" x14ac:dyDescent="0.25">
      <c r="A49" s="714" t="s">
        <v>389</v>
      </c>
      <c r="B49" s="148" t="s">
        <v>368</v>
      </c>
      <c r="C49" s="137" t="s">
        <v>411</v>
      </c>
      <c r="D49" s="129" t="s">
        <v>453</v>
      </c>
      <c r="E49" s="144">
        <v>0.85499999999999998</v>
      </c>
      <c r="F49" s="144">
        <v>0.95</v>
      </c>
      <c r="G49" s="144">
        <v>0.95949999999999991</v>
      </c>
      <c r="H49" s="144">
        <v>0.85499999999999998</v>
      </c>
      <c r="I49" s="144">
        <v>0.90724999999999989</v>
      </c>
      <c r="J49" s="144">
        <v>0.95949999999999991</v>
      </c>
      <c r="K49" s="144">
        <v>0.95</v>
      </c>
    </row>
    <row r="50" spans="1:11" ht="15" customHeight="1" thickBot="1" x14ac:dyDescent="0.3">
      <c r="A50" s="715"/>
      <c r="B50" s="142" t="s">
        <v>369</v>
      </c>
      <c r="C50" s="139" t="s">
        <v>219</v>
      </c>
      <c r="D50" s="130" t="s">
        <v>454</v>
      </c>
      <c r="E50" s="145">
        <v>5.5</v>
      </c>
      <c r="F50" s="145">
        <v>5</v>
      </c>
      <c r="G50" s="145">
        <v>4.5</v>
      </c>
      <c r="H50" s="145">
        <v>5.5</v>
      </c>
      <c r="I50" s="145">
        <v>5</v>
      </c>
      <c r="J50" s="145">
        <v>4.5</v>
      </c>
      <c r="K50" s="145">
        <v>5</v>
      </c>
    </row>
    <row r="51" spans="1:11" ht="15" customHeight="1" x14ac:dyDescent="0.25">
      <c r="A51" s="714" t="s">
        <v>388</v>
      </c>
      <c r="B51" s="148" t="s">
        <v>370</v>
      </c>
      <c r="C51" s="137" t="s">
        <v>455</v>
      </c>
      <c r="D51" s="129" t="s">
        <v>456</v>
      </c>
      <c r="E51" s="144">
        <v>0.10500000000000001</v>
      </c>
      <c r="F51" s="144">
        <v>7.0000000000000007E-2</v>
      </c>
      <c r="G51" s="144">
        <v>3.5000000000000003E-2</v>
      </c>
      <c r="H51" s="144">
        <v>0.10500000000000001</v>
      </c>
      <c r="I51" s="144">
        <v>7.0000000000000007E-2</v>
      </c>
      <c r="J51" s="144">
        <v>3.5000000000000003E-2</v>
      </c>
      <c r="K51" s="144">
        <v>0.10500000000000001</v>
      </c>
    </row>
    <row r="52" spans="1:11" ht="15" customHeight="1" thickBot="1" x14ac:dyDescent="0.3">
      <c r="A52" s="715"/>
      <c r="B52" s="142" t="s">
        <v>371</v>
      </c>
      <c r="C52" s="139" t="s">
        <v>411</v>
      </c>
      <c r="D52" s="130" t="s">
        <v>457</v>
      </c>
      <c r="E52" s="146">
        <v>0.44999999999999996</v>
      </c>
      <c r="F52" s="146">
        <v>0.3</v>
      </c>
      <c r="G52" s="146">
        <v>0.15</v>
      </c>
      <c r="H52" s="146">
        <v>0.44999999999999996</v>
      </c>
      <c r="I52" s="146">
        <v>0.3</v>
      </c>
      <c r="J52" s="146">
        <v>0.15</v>
      </c>
      <c r="K52" s="146">
        <v>0.44999999999999996</v>
      </c>
    </row>
    <row r="53" spans="1:11" ht="15" customHeight="1" thickBot="1" x14ac:dyDescent="0.3">
      <c r="A53" s="153" t="s">
        <v>290</v>
      </c>
      <c r="B53" s="153"/>
      <c r="C53" s="153"/>
      <c r="D53" s="153"/>
      <c r="E53" s="153"/>
      <c r="F53" s="153"/>
      <c r="G53" s="153"/>
      <c r="H53" s="153"/>
      <c r="I53" s="153"/>
      <c r="J53" s="153"/>
      <c r="K53" s="153"/>
    </row>
    <row r="54" spans="1:11" ht="15" customHeight="1" x14ac:dyDescent="0.25">
      <c r="A54" s="714" t="s">
        <v>387</v>
      </c>
      <c r="B54" s="148" t="s">
        <v>372</v>
      </c>
      <c r="C54" s="137" t="s">
        <v>411</v>
      </c>
      <c r="D54" s="129" t="s">
        <v>458</v>
      </c>
      <c r="E54" s="144">
        <v>0.9</v>
      </c>
      <c r="F54" s="144">
        <v>1</v>
      </c>
      <c r="G54" s="144">
        <v>1.1000000000000001</v>
      </c>
      <c r="H54" s="144">
        <v>1</v>
      </c>
      <c r="I54" s="144">
        <v>1</v>
      </c>
      <c r="J54" s="144">
        <v>1</v>
      </c>
      <c r="K54" s="144">
        <v>1.1000000000000001</v>
      </c>
    </row>
    <row r="55" spans="1:11" ht="15" customHeight="1" x14ac:dyDescent="0.25">
      <c r="A55" s="716"/>
      <c r="B55" s="148" t="s">
        <v>373</v>
      </c>
      <c r="C55" s="137" t="s">
        <v>411</v>
      </c>
      <c r="D55" s="129" t="s">
        <v>458</v>
      </c>
      <c r="E55" s="145">
        <v>0.9</v>
      </c>
      <c r="F55" s="145">
        <v>1</v>
      </c>
      <c r="G55" s="145">
        <v>1.1000000000000001</v>
      </c>
      <c r="H55" s="145">
        <v>1</v>
      </c>
      <c r="I55" s="145">
        <v>1</v>
      </c>
      <c r="J55" s="145">
        <v>1</v>
      </c>
      <c r="K55" s="145">
        <v>1.1000000000000001</v>
      </c>
    </row>
    <row r="56" spans="1:11" ht="15" customHeight="1" thickBot="1" x14ac:dyDescent="0.3">
      <c r="A56" s="715"/>
      <c r="B56" s="142" t="s">
        <v>374</v>
      </c>
      <c r="C56" s="142" t="s">
        <v>263</v>
      </c>
      <c r="D56" s="130" t="s">
        <v>459</v>
      </c>
      <c r="E56" s="145">
        <v>1254.4499999999998</v>
      </c>
      <c r="F56" s="145">
        <v>1672.6</v>
      </c>
      <c r="G56" s="145">
        <v>2090.75</v>
      </c>
      <c r="H56" s="145">
        <v>1672.6</v>
      </c>
      <c r="I56" s="145">
        <v>1672.6</v>
      </c>
      <c r="J56" s="145">
        <v>1672.6</v>
      </c>
      <c r="K56" s="145">
        <v>2090.75</v>
      </c>
    </row>
    <row r="57" spans="1:11" ht="15" customHeight="1" x14ac:dyDescent="0.25">
      <c r="A57" s="714" t="s">
        <v>174</v>
      </c>
      <c r="B57" s="148" t="s">
        <v>375</v>
      </c>
      <c r="C57" s="137" t="s">
        <v>265</v>
      </c>
      <c r="D57" s="129" t="s">
        <v>460</v>
      </c>
      <c r="E57" s="144">
        <v>7.4999999999999997E-3</v>
      </c>
      <c r="F57" s="144">
        <v>0.01</v>
      </c>
      <c r="G57" s="144">
        <v>1.2500000000000001E-2</v>
      </c>
      <c r="H57" s="144">
        <v>0.01</v>
      </c>
      <c r="I57" s="144">
        <v>0.01</v>
      </c>
      <c r="J57" s="144">
        <v>0.01</v>
      </c>
      <c r="K57" s="144">
        <v>1.2500000000000001E-2</v>
      </c>
    </row>
    <row r="58" spans="1:11" ht="15" customHeight="1" thickBot="1" x14ac:dyDescent="0.3">
      <c r="A58" s="715"/>
      <c r="B58" s="142" t="s">
        <v>376</v>
      </c>
      <c r="C58" s="139" t="s">
        <v>411</v>
      </c>
      <c r="D58" s="130" t="s">
        <v>461</v>
      </c>
      <c r="E58" s="146">
        <v>4</v>
      </c>
      <c r="F58" s="146">
        <v>1</v>
      </c>
      <c r="G58" s="146">
        <v>0</v>
      </c>
      <c r="H58" s="146">
        <v>2</v>
      </c>
      <c r="I58" s="146">
        <v>1</v>
      </c>
      <c r="J58" s="146">
        <v>1</v>
      </c>
      <c r="K58" s="146">
        <v>0</v>
      </c>
    </row>
  </sheetData>
  <mergeCells count="15">
    <mergeCell ref="A41:A47"/>
    <mergeCell ref="A57:A58"/>
    <mergeCell ref="A49:A50"/>
    <mergeCell ref="A51:A52"/>
    <mergeCell ref="A54:A56"/>
    <mergeCell ref="A35:A39"/>
    <mergeCell ref="A13:A14"/>
    <mergeCell ref="A15:A16"/>
    <mergeCell ref="A18:A19"/>
    <mergeCell ref="A20:A25"/>
    <mergeCell ref="C1:C2"/>
    <mergeCell ref="D1:D2"/>
    <mergeCell ref="A4:A6"/>
    <mergeCell ref="A7:A12"/>
    <mergeCell ref="A27:A34"/>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0" zoomScaleNormal="80" workbookViewId="0">
      <pane xSplit="3" ySplit="1" topLeftCell="F41" activePane="bottomRight" state="frozen"/>
      <selection pane="topRight" activeCell="C1" sqref="C1"/>
      <selection pane="bottomLeft" activeCell="A2" sqref="A2"/>
      <selection pane="bottomRight" activeCell="F48" sqref="F48:I51"/>
    </sheetView>
  </sheetViews>
  <sheetFormatPr defaultColWidth="9" defaultRowHeight="15" x14ac:dyDescent="0.25"/>
  <cols>
    <col min="1" max="2" width="14.28515625" style="355" customWidth="1"/>
    <col min="3" max="3" width="89.85546875" style="355" customWidth="1"/>
    <col min="4" max="4" width="8.5703125" style="96" hidden="1" customWidth="1"/>
    <col min="5" max="5" width="63" style="93" hidden="1" customWidth="1"/>
    <col min="6" max="7" width="53.85546875" style="360" customWidth="1"/>
    <col min="8" max="9" width="53" style="360" customWidth="1"/>
    <col min="10" max="10" width="60.85546875" style="360" customWidth="1"/>
    <col min="11" max="16384" width="9" style="355"/>
  </cols>
  <sheetData>
    <row r="1" spans="1:10" s="26" customFormat="1" ht="123" customHeight="1" x14ac:dyDescent="0.25">
      <c r="A1" s="356"/>
      <c r="B1" s="356"/>
      <c r="C1" s="359" t="s">
        <v>190</v>
      </c>
      <c r="D1" s="94"/>
      <c r="E1" s="88" t="s">
        <v>189</v>
      </c>
      <c r="F1" s="360" t="s">
        <v>1435</v>
      </c>
      <c r="G1" s="360"/>
      <c r="H1" s="360" t="s">
        <v>1436</v>
      </c>
      <c r="I1" s="360"/>
      <c r="J1" s="360" t="s">
        <v>140</v>
      </c>
    </row>
    <row r="2" spans="1:10" x14ac:dyDescent="0.25">
      <c r="A2" s="356"/>
      <c r="B2" s="356"/>
      <c r="C2" s="473" t="s">
        <v>158</v>
      </c>
      <c r="D2" s="94"/>
      <c r="E2" s="89"/>
      <c r="F2" s="360" t="s">
        <v>1438</v>
      </c>
      <c r="G2" s="360" t="s">
        <v>1437</v>
      </c>
      <c r="H2" s="360" t="s">
        <v>1438</v>
      </c>
      <c r="I2" s="360" t="s">
        <v>1437</v>
      </c>
      <c r="J2" s="360" t="s">
        <v>153</v>
      </c>
    </row>
    <row r="3" spans="1:10" x14ac:dyDescent="0.25">
      <c r="A3" s="665"/>
      <c r="B3" s="665" t="s">
        <v>178</v>
      </c>
      <c r="C3" s="51" t="s">
        <v>7</v>
      </c>
      <c r="D3" s="95" t="s">
        <v>191</v>
      </c>
      <c r="E3" s="91" t="s">
        <v>195</v>
      </c>
      <c r="F3" s="474" t="s">
        <v>154</v>
      </c>
      <c r="G3" s="474" t="s">
        <v>155</v>
      </c>
      <c r="H3" s="474" t="s">
        <v>152</v>
      </c>
      <c r="I3" s="474" t="s">
        <v>152</v>
      </c>
      <c r="J3" s="474" t="s">
        <v>152</v>
      </c>
    </row>
    <row r="4" spans="1:10" ht="60" x14ac:dyDescent="0.25">
      <c r="A4" s="665"/>
      <c r="B4" s="665"/>
      <c r="C4" s="53" t="s">
        <v>6</v>
      </c>
      <c r="D4" s="95" t="s">
        <v>191</v>
      </c>
      <c r="E4" s="91" t="s">
        <v>194</v>
      </c>
      <c r="F4" s="474" t="s">
        <v>154</v>
      </c>
      <c r="G4" s="474" t="s">
        <v>152</v>
      </c>
      <c r="H4" s="474" t="s">
        <v>155</v>
      </c>
      <c r="I4" s="474" t="s">
        <v>155</v>
      </c>
      <c r="J4" s="474" t="s">
        <v>155</v>
      </c>
    </row>
    <row r="5" spans="1:10" ht="60" x14ac:dyDescent="0.25">
      <c r="A5" s="665"/>
      <c r="B5" s="665"/>
      <c r="C5" s="53" t="s">
        <v>5</v>
      </c>
      <c r="D5" s="95" t="s">
        <v>192</v>
      </c>
      <c r="E5" s="91" t="s">
        <v>193</v>
      </c>
      <c r="F5" s="474" t="s">
        <v>155</v>
      </c>
      <c r="G5" s="474" t="s">
        <v>155</v>
      </c>
      <c r="H5" s="474" t="s">
        <v>154</v>
      </c>
      <c r="I5" s="474" t="s">
        <v>152</v>
      </c>
      <c r="J5" s="474" t="s">
        <v>152</v>
      </c>
    </row>
    <row r="6" spans="1:10" s="358" customFormat="1" ht="30" x14ac:dyDescent="0.25">
      <c r="A6" s="665"/>
      <c r="B6" s="665" t="s">
        <v>179</v>
      </c>
      <c r="C6" s="53" t="s">
        <v>33</v>
      </c>
      <c r="D6" s="95" t="s">
        <v>191</v>
      </c>
      <c r="E6" s="91" t="s">
        <v>200</v>
      </c>
      <c r="F6" s="474" t="s">
        <v>155</v>
      </c>
      <c r="G6" s="474" t="s">
        <v>154</v>
      </c>
      <c r="H6" s="474" t="s">
        <v>154</v>
      </c>
      <c r="I6" s="474" t="s">
        <v>152</v>
      </c>
      <c r="J6" s="474" t="s">
        <v>152</v>
      </c>
    </row>
    <row r="7" spans="1:10" s="358" customFormat="1" ht="30" x14ac:dyDescent="0.25">
      <c r="A7" s="665"/>
      <c r="B7" s="665"/>
      <c r="C7" s="53" t="s">
        <v>34</v>
      </c>
      <c r="D7" s="95" t="s">
        <v>191</v>
      </c>
      <c r="E7" s="91" t="s">
        <v>201</v>
      </c>
      <c r="F7" s="474" t="s">
        <v>155</v>
      </c>
      <c r="G7" s="474" t="s">
        <v>154</v>
      </c>
      <c r="H7" s="474" t="s">
        <v>154</v>
      </c>
      <c r="I7" s="474" t="s">
        <v>152</v>
      </c>
      <c r="J7" s="474" t="s">
        <v>152</v>
      </c>
    </row>
    <row r="8" spans="1:10" s="358" customFormat="1" ht="30" x14ac:dyDescent="0.25">
      <c r="A8" s="665"/>
      <c r="B8" s="665"/>
      <c r="C8" s="53" t="s">
        <v>35</v>
      </c>
      <c r="D8" s="95" t="s">
        <v>191</v>
      </c>
      <c r="E8" s="91" t="s">
        <v>203</v>
      </c>
      <c r="F8" s="474" t="s">
        <v>155</v>
      </c>
      <c r="G8" s="474" t="s">
        <v>156</v>
      </c>
      <c r="H8" s="474" t="s">
        <v>156</v>
      </c>
      <c r="I8" s="474" t="s">
        <v>152</v>
      </c>
      <c r="J8" s="474" t="s">
        <v>152</v>
      </c>
    </row>
    <row r="9" spans="1:10" ht="30" x14ac:dyDescent="0.25">
      <c r="A9" s="665"/>
      <c r="B9" s="665"/>
      <c r="C9" s="53" t="s">
        <v>36</v>
      </c>
      <c r="D9" s="95" t="s">
        <v>191</v>
      </c>
      <c r="E9" s="91" t="s">
        <v>202</v>
      </c>
      <c r="F9" s="474" t="s">
        <v>155</v>
      </c>
      <c r="G9" s="474" t="s">
        <v>156</v>
      </c>
      <c r="H9" s="474" t="s">
        <v>156</v>
      </c>
      <c r="I9" s="474" t="s">
        <v>152</v>
      </c>
      <c r="J9" s="474" t="s">
        <v>152</v>
      </c>
    </row>
    <row r="10" spans="1:10" ht="30" x14ac:dyDescent="0.25">
      <c r="A10" s="665"/>
      <c r="B10" s="665"/>
      <c r="C10" s="53" t="s">
        <v>37</v>
      </c>
      <c r="D10" s="95" t="s">
        <v>191</v>
      </c>
      <c r="E10" s="91" t="s">
        <v>204</v>
      </c>
      <c r="F10" s="474" t="s">
        <v>155</v>
      </c>
      <c r="G10" s="474" t="s">
        <v>155</v>
      </c>
      <c r="H10" s="474" t="s">
        <v>155</v>
      </c>
      <c r="I10" s="474" t="s">
        <v>152</v>
      </c>
      <c r="J10" s="474" t="s">
        <v>152</v>
      </c>
    </row>
    <row r="11" spans="1:10" ht="30" x14ac:dyDescent="0.25">
      <c r="A11" s="665"/>
      <c r="B11" s="665"/>
      <c r="C11" s="53" t="s">
        <v>38</v>
      </c>
      <c r="D11" s="95" t="s">
        <v>191</v>
      </c>
      <c r="E11" s="91" t="s">
        <v>205</v>
      </c>
      <c r="F11" s="474" t="s">
        <v>155</v>
      </c>
      <c r="G11" s="474" t="s">
        <v>155</v>
      </c>
      <c r="H11" s="474" t="s">
        <v>155</v>
      </c>
      <c r="I11" s="474" t="s">
        <v>152</v>
      </c>
      <c r="J11" s="474" t="s">
        <v>152</v>
      </c>
    </row>
    <row r="12" spans="1:10" s="358" customFormat="1" ht="30" x14ac:dyDescent="0.25">
      <c r="A12" s="665"/>
      <c r="B12" s="665" t="s">
        <v>10</v>
      </c>
      <c r="C12" s="53" t="s">
        <v>39</v>
      </c>
      <c r="D12" s="95" t="s">
        <v>191</v>
      </c>
      <c r="E12" s="91" t="s">
        <v>206</v>
      </c>
      <c r="F12" s="476" t="s">
        <v>155</v>
      </c>
      <c r="G12" s="476" t="s">
        <v>155</v>
      </c>
      <c r="H12" s="476" t="s">
        <v>155</v>
      </c>
      <c r="I12" s="476" t="s">
        <v>152</v>
      </c>
      <c r="J12" s="476" t="s">
        <v>152</v>
      </c>
    </row>
    <row r="13" spans="1:10" s="358" customFormat="1" ht="45" x14ac:dyDescent="0.25">
      <c r="A13" s="665"/>
      <c r="B13" s="665"/>
      <c r="C13" s="53" t="s">
        <v>40</v>
      </c>
      <c r="D13" s="95" t="s">
        <v>191</v>
      </c>
      <c r="E13" s="91" t="s">
        <v>196</v>
      </c>
      <c r="F13" s="476" t="s">
        <v>155</v>
      </c>
      <c r="G13" s="476" t="s">
        <v>155</v>
      </c>
      <c r="H13" s="476" t="s">
        <v>155</v>
      </c>
      <c r="I13" s="476" t="s">
        <v>152</v>
      </c>
      <c r="J13" s="476" t="s">
        <v>152</v>
      </c>
    </row>
    <row r="14" spans="1:10" s="358" customFormat="1" ht="45" x14ac:dyDescent="0.25">
      <c r="A14" s="665"/>
      <c r="B14" s="665" t="s">
        <v>180</v>
      </c>
      <c r="C14" s="52" t="s">
        <v>97</v>
      </c>
      <c r="D14" s="94" t="s">
        <v>191</v>
      </c>
      <c r="E14" s="89" t="s">
        <v>199</v>
      </c>
      <c r="F14" s="476" t="s">
        <v>154</v>
      </c>
      <c r="G14" s="476" t="s">
        <v>155</v>
      </c>
      <c r="H14" s="476" t="s">
        <v>154</v>
      </c>
      <c r="I14" s="476" t="s">
        <v>155</v>
      </c>
      <c r="J14" s="476" t="s">
        <v>152</v>
      </c>
    </row>
    <row r="15" spans="1:10" ht="45" x14ac:dyDescent="0.25">
      <c r="A15" s="665"/>
      <c r="B15" s="665"/>
      <c r="C15" s="50" t="s">
        <v>98</v>
      </c>
      <c r="D15" s="94" t="s">
        <v>191</v>
      </c>
      <c r="E15" s="89" t="s">
        <v>199</v>
      </c>
      <c r="F15" s="476" t="s">
        <v>154</v>
      </c>
      <c r="G15" s="476" t="s">
        <v>152</v>
      </c>
      <c r="H15" s="476" t="s">
        <v>154</v>
      </c>
      <c r="I15" s="476" t="s">
        <v>152</v>
      </c>
      <c r="J15" s="476" t="s">
        <v>155</v>
      </c>
    </row>
    <row r="16" spans="1:10" ht="60" x14ac:dyDescent="0.25">
      <c r="A16" s="659"/>
      <c r="B16" s="665" t="s">
        <v>240</v>
      </c>
      <c r="C16" s="53" t="s">
        <v>50</v>
      </c>
      <c r="D16" s="95" t="s">
        <v>191</v>
      </c>
      <c r="E16" s="89" t="s">
        <v>197</v>
      </c>
      <c r="F16" s="360" t="s">
        <v>152</v>
      </c>
      <c r="G16" s="360" t="s">
        <v>152</v>
      </c>
      <c r="H16" s="360" t="s">
        <v>155</v>
      </c>
      <c r="I16" s="360" t="s">
        <v>155</v>
      </c>
      <c r="J16" s="360" t="s">
        <v>175</v>
      </c>
    </row>
    <row r="17" spans="1:10" ht="45" x14ac:dyDescent="0.25">
      <c r="A17" s="659"/>
      <c r="B17" s="665"/>
      <c r="C17" s="51" t="s">
        <v>85</v>
      </c>
      <c r="D17" s="95" t="s">
        <v>191</v>
      </c>
      <c r="E17" s="91" t="s">
        <v>198</v>
      </c>
      <c r="F17" s="73" t="s">
        <v>155</v>
      </c>
      <c r="G17" s="73" t="s">
        <v>155</v>
      </c>
      <c r="H17" s="73" t="s">
        <v>152</v>
      </c>
      <c r="I17" s="73" t="s">
        <v>152</v>
      </c>
      <c r="J17" s="73" t="s">
        <v>155</v>
      </c>
    </row>
    <row r="18" spans="1:10" ht="45" x14ac:dyDescent="0.25">
      <c r="A18" s="659"/>
      <c r="B18" s="665" t="s">
        <v>181</v>
      </c>
      <c r="C18" s="52" t="s">
        <v>44</v>
      </c>
      <c r="D18" s="94" t="s">
        <v>208</v>
      </c>
      <c r="E18" s="89" t="s">
        <v>207</v>
      </c>
      <c r="F18" s="360" t="s">
        <v>155</v>
      </c>
      <c r="G18" s="360" t="s">
        <v>152</v>
      </c>
      <c r="H18" s="360" t="s">
        <v>155</v>
      </c>
      <c r="I18" s="360" t="s">
        <v>152</v>
      </c>
      <c r="J18" s="360" t="s">
        <v>152</v>
      </c>
    </row>
    <row r="19" spans="1:10" ht="45" x14ac:dyDescent="0.25">
      <c r="A19" s="659"/>
      <c r="B19" s="665"/>
      <c r="C19" s="53" t="s">
        <v>45</v>
      </c>
      <c r="D19" s="95" t="s">
        <v>191</v>
      </c>
      <c r="E19" s="91" t="s">
        <v>241</v>
      </c>
      <c r="F19" s="360" t="s">
        <v>152</v>
      </c>
      <c r="G19" s="360" t="s">
        <v>152</v>
      </c>
      <c r="H19" s="360" t="s">
        <v>155</v>
      </c>
      <c r="I19" s="360" t="s">
        <v>155</v>
      </c>
      <c r="J19" s="360" t="s">
        <v>175</v>
      </c>
    </row>
    <row r="20" spans="1:10" ht="45" x14ac:dyDescent="0.25">
      <c r="A20" s="659"/>
      <c r="B20" s="665"/>
      <c r="C20" s="53" t="s">
        <v>46</v>
      </c>
      <c r="D20" s="95" t="s">
        <v>191</v>
      </c>
      <c r="E20" s="91" t="s">
        <v>242</v>
      </c>
      <c r="F20" s="360" t="s">
        <v>152</v>
      </c>
      <c r="G20" s="360" t="s">
        <v>152</v>
      </c>
      <c r="H20" s="360" t="s">
        <v>155</v>
      </c>
      <c r="I20" s="360" t="s">
        <v>155</v>
      </c>
      <c r="J20" s="360" t="s">
        <v>175</v>
      </c>
    </row>
    <row r="21" spans="1:10" ht="45" x14ac:dyDescent="0.25">
      <c r="A21" s="659"/>
      <c r="B21" s="665"/>
      <c r="C21" s="53" t="s">
        <v>47</v>
      </c>
      <c r="D21" s="95" t="s">
        <v>191</v>
      </c>
      <c r="E21" s="91" t="s">
        <v>209</v>
      </c>
      <c r="F21" s="360" t="s">
        <v>152</v>
      </c>
      <c r="G21" s="360" t="s">
        <v>152</v>
      </c>
      <c r="H21" s="360" t="s">
        <v>155</v>
      </c>
      <c r="I21" s="360" t="s">
        <v>155</v>
      </c>
      <c r="J21" s="360" t="s">
        <v>175</v>
      </c>
    </row>
    <row r="22" spans="1:10" ht="45" x14ac:dyDescent="0.25">
      <c r="A22" s="659"/>
      <c r="B22" s="665"/>
      <c r="C22" s="53" t="s">
        <v>48</v>
      </c>
      <c r="D22" s="95" t="s">
        <v>191</v>
      </c>
      <c r="E22" s="91" t="s">
        <v>243</v>
      </c>
      <c r="F22" s="360" t="s">
        <v>155</v>
      </c>
      <c r="G22" s="360" t="s">
        <v>155</v>
      </c>
      <c r="H22" s="360" t="s">
        <v>152</v>
      </c>
      <c r="I22" s="360" t="s">
        <v>152</v>
      </c>
      <c r="J22" s="360" t="s">
        <v>176</v>
      </c>
    </row>
    <row r="23" spans="1:10" s="358" customFormat="1" ht="45" x14ac:dyDescent="0.25">
      <c r="A23" s="659"/>
      <c r="B23" s="665"/>
      <c r="C23" s="53" t="s">
        <v>49</v>
      </c>
      <c r="D23" s="95" t="s">
        <v>191</v>
      </c>
      <c r="E23" s="91" t="s">
        <v>244</v>
      </c>
      <c r="F23" s="362" t="s">
        <v>152</v>
      </c>
      <c r="G23" s="362" t="s">
        <v>152</v>
      </c>
      <c r="H23" s="362" t="s">
        <v>154</v>
      </c>
      <c r="I23" s="362" t="s">
        <v>154</v>
      </c>
      <c r="J23" s="362" t="s">
        <v>176</v>
      </c>
    </row>
    <row r="24" spans="1:10" s="358" customFormat="1" ht="60" x14ac:dyDescent="0.25">
      <c r="A24" s="659"/>
      <c r="B24" s="665" t="s">
        <v>182</v>
      </c>
      <c r="C24" s="54" t="s">
        <v>84</v>
      </c>
      <c r="D24" s="95" t="s">
        <v>191</v>
      </c>
      <c r="E24" s="91" t="s">
        <v>210</v>
      </c>
      <c r="F24" s="34" t="s">
        <v>154</v>
      </c>
      <c r="G24" s="34" t="s">
        <v>154</v>
      </c>
      <c r="H24" s="34" t="s">
        <v>154</v>
      </c>
      <c r="I24" s="34" t="s">
        <v>154</v>
      </c>
      <c r="J24" s="34" t="s">
        <v>177</v>
      </c>
    </row>
    <row r="25" spans="1:10" s="358" customFormat="1" x14ac:dyDescent="0.25">
      <c r="A25" s="659"/>
      <c r="B25" s="665"/>
      <c r="C25" s="53" t="s">
        <v>78</v>
      </c>
      <c r="D25" s="95" t="s">
        <v>213</v>
      </c>
      <c r="E25" s="91" t="s">
        <v>212</v>
      </c>
      <c r="F25" s="362" t="s">
        <v>155</v>
      </c>
      <c r="G25" s="362" t="s">
        <v>155</v>
      </c>
      <c r="H25" s="362" t="s">
        <v>154</v>
      </c>
      <c r="I25" s="362" t="s">
        <v>155</v>
      </c>
      <c r="J25" s="362" t="s">
        <v>152</v>
      </c>
    </row>
    <row r="26" spans="1:10" s="358" customFormat="1" ht="30" x14ac:dyDescent="0.25">
      <c r="A26" s="659"/>
      <c r="B26" s="665"/>
      <c r="C26" s="52" t="s">
        <v>77</v>
      </c>
      <c r="D26" s="94" t="s">
        <v>211</v>
      </c>
      <c r="E26" s="89" t="s">
        <v>214</v>
      </c>
      <c r="F26" s="362" t="s">
        <v>155</v>
      </c>
      <c r="G26" s="362" t="s">
        <v>155</v>
      </c>
      <c r="H26" s="362" t="s">
        <v>154</v>
      </c>
      <c r="I26" s="362" t="s">
        <v>155</v>
      </c>
      <c r="J26" s="362" t="s">
        <v>152</v>
      </c>
    </row>
    <row r="27" spans="1:10" s="358" customFormat="1" ht="30" x14ac:dyDescent="0.25">
      <c r="A27" s="659"/>
      <c r="B27" s="665"/>
      <c r="C27" s="52" t="s">
        <v>73</v>
      </c>
      <c r="D27" s="94" t="s">
        <v>211</v>
      </c>
      <c r="E27" s="89" t="s">
        <v>215</v>
      </c>
      <c r="F27" s="362" t="s">
        <v>155</v>
      </c>
      <c r="G27" s="362" t="s">
        <v>155</v>
      </c>
      <c r="H27" s="362" t="s">
        <v>154</v>
      </c>
      <c r="I27" s="362" t="s">
        <v>155</v>
      </c>
      <c r="J27" s="362" t="s">
        <v>152</v>
      </c>
    </row>
    <row r="28" spans="1:10" s="358" customFormat="1" ht="60" x14ac:dyDescent="0.25">
      <c r="A28" s="659"/>
      <c r="B28" s="665"/>
      <c r="C28" s="52" t="s">
        <v>59</v>
      </c>
      <c r="D28" s="94" t="s">
        <v>191</v>
      </c>
      <c r="E28" s="89" t="s">
        <v>216</v>
      </c>
      <c r="F28" s="362" t="s">
        <v>155</v>
      </c>
      <c r="G28" s="362" t="s">
        <v>155</v>
      </c>
      <c r="H28" s="362" t="s">
        <v>152</v>
      </c>
      <c r="I28" s="362" t="s">
        <v>152</v>
      </c>
      <c r="J28" s="362" t="s">
        <v>154</v>
      </c>
    </row>
    <row r="29" spans="1:10" s="358" customFormat="1" ht="60" x14ac:dyDescent="0.25">
      <c r="A29" s="659"/>
      <c r="B29" s="665"/>
      <c r="C29" s="53" t="s">
        <v>56</v>
      </c>
      <c r="D29" s="95" t="s">
        <v>191</v>
      </c>
      <c r="E29" s="89" t="s">
        <v>217</v>
      </c>
      <c r="F29" s="362" t="s">
        <v>155</v>
      </c>
      <c r="G29" s="362" t="s">
        <v>155</v>
      </c>
      <c r="H29" s="362" t="s">
        <v>152</v>
      </c>
      <c r="I29" s="362" t="s">
        <v>152</v>
      </c>
      <c r="J29" s="362" t="s">
        <v>154</v>
      </c>
    </row>
    <row r="30" spans="1:10" s="358" customFormat="1" ht="30" x14ac:dyDescent="0.25">
      <c r="A30" s="659"/>
      <c r="B30" s="665"/>
      <c r="C30" s="51" t="s">
        <v>133</v>
      </c>
      <c r="D30" s="95" t="s">
        <v>219</v>
      </c>
      <c r="E30" s="91" t="s">
        <v>218</v>
      </c>
      <c r="F30" s="34" t="s">
        <v>152</v>
      </c>
      <c r="G30" s="34" t="s">
        <v>152</v>
      </c>
      <c r="H30" s="34" t="s">
        <v>154</v>
      </c>
      <c r="I30" s="34" t="s">
        <v>154</v>
      </c>
      <c r="J30" s="35" t="s">
        <v>155</v>
      </c>
    </row>
    <row r="31" spans="1:10" s="358" customFormat="1" x14ac:dyDescent="0.25">
      <c r="A31" s="659"/>
      <c r="B31" s="665"/>
      <c r="C31" s="51" t="s">
        <v>1060</v>
      </c>
      <c r="D31" s="95"/>
      <c r="E31" s="91"/>
      <c r="F31" s="34"/>
      <c r="G31" s="34"/>
      <c r="H31" s="34"/>
      <c r="I31" s="34"/>
      <c r="J31" s="35"/>
    </row>
    <row r="32" spans="1:10" ht="30" x14ac:dyDescent="0.25">
      <c r="A32" s="659"/>
      <c r="B32" s="665" t="s">
        <v>183</v>
      </c>
      <c r="C32" s="52" t="s">
        <v>71</v>
      </c>
      <c r="D32" s="94" t="s">
        <v>191</v>
      </c>
      <c r="E32" s="89" t="s">
        <v>220</v>
      </c>
      <c r="F32" s="35" t="s">
        <v>155</v>
      </c>
      <c r="G32" s="35" t="s">
        <v>152</v>
      </c>
      <c r="H32" s="34" t="s">
        <v>155</v>
      </c>
      <c r="I32" s="34" t="s">
        <v>155</v>
      </c>
      <c r="J32" s="35" t="s">
        <v>152</v>
      </c>
    </row>
    <row r="33" spans="1:10" ht="30" x14ac:dyDescent="0.25">
      <c r="A33" s="659"/>
      <c r="B33" s="665"/>
      <c r="C33" s="52" t="s">
        <v>75</v>
      </c>
      <c r="D33" s="94" t="s">
        <v>191</v>
      </c>
      <c r="E33" s="89" t="s">
        <v>222</v>
      </c>
      <c r="F33" s="35" t="s">
        <v>155</v>
      </c>
      <c r="G33" s="35" t="s">
        <v>152</v>
      </c>
      <c r="H33" s="34" t="s">
        <v>155</v>
      </c>
      <c r="I33" s="34" t="s">
        <v>155</v>
      </c>
      <c r="J33" s="35" t="s">
        <v>152</v>
      </c>
    </row>
    <row r="34" spans="1:10" ht="30" x14ac:dyDescent="0.25">
      <c r="A34" s="659"/>
      <c r="B34" s="665"/>
      <c r="C34" s="52" t="s">
        <v>79</v>
      </c>
      <c r="D34" s="94" t="s">
        <v>191</v>
      </c>
      <c r="E34" s="89" t="s">
        <v>221</v>
      </c>
      <c r="F34" s="35" t="s">
        <v>155</v>
      </c>
      <c r="G34" s="35" t="s">
        <v>152</v>
      </c>
      <c r="H34" s="34" t="s">
        <v>155</v>
      </c>
      <c r="I34" s="34" t="s">
        <v>155</v>
      </c>
      <c r="J34" s="35" t="s">
        <v>152</v>
      </c>
    </row>
    <row r="35" spans="1:10" x14ac:dyDescent="0.25">
      <c r="A35" s="659"/>
      <c r="B35" s="665"/>
      <c r="C35" s="52" t="s">
        <v>53</v>
      </c>
      <c r="D35" s="94" t="s">
        <v>224</v>
      </c>
      <c r="E35" s="89" t="s">
        <v>223</v>
      </c>
      <c r="F35" s="34" t="s">
        <v>155</v>
      </c>
      <c r="G35" s="34" t="s">
        <v>155</v>
      </c>
      <c r="H35" s="34" t="s">
        <v>155</v>
      </c>
      <c r="I35" s="34" t="s">
        <v>152</v>
      </c>
      <c r="J35" s="35" t="s">
        <v>155</v>
      </c>
    </row>
    <row r="36" spans="1:10" ht="30" x14ac:dyDescent="0.25">
      <c r="A36" s="659"/>
      <c r="B36" s="665"/>
      <c r="C36" s="51" t="s">
        <v>82</v>
      </c>
      <c r="D36" s="95" t="s">
        <v>219</v>
      </c>
      <c r="E36" s="91" t="s">
        <v>225</v>
      </c>
      <c r="F36" s="35" t="s">
        <v>155</v>
      </c>
      <c r="G36" s="35" t="s">
        <v>155</v>
      </c>
      <c r="H36" s="34" t="s">
        <v>155</v>
      </c>
      <c r="I36" s="34" t="s">
        <v>152</v>
      </c>
      <c r="J36" s="35" t="s">
        <v>155</v>
      </c>
    </row>
    <row r="37" spans="1:10" x14ac:dyDescent="0.25">
      <c r="A37" s="659"/>
      <c r="B37" s="665" t="s">
        <v>284</v>
      </c>
      <c r="C37" s="37" t="s">
        <v>171</v>
      </c>
      <c r="D37" s="96" t="s">
        <v>227</v>
      </c>
      <c r="E37" s="91" t="s">
        <v>226</v>
      </c>
      <c r="F37" s="34" t="s">
        <v>157</v>
      </c>
      <c r="G37" s="34" t="s">
        <v>152</v>
      </c>
      <c r="H37" s="34" t="s">
        <v>155</v>
      </c>
      <c r="I37" s="34" t="s">
        <v>155</v>
      </c>
      <c r="J37" s="35" t="s">
        <v>152</v>
      </c>
    </row>
    <row r="38" spans="1:10" x14ac:dyDescent="0.25">
      <c r="A38" s="659"/>
      <c r="B38" s="665"/>
      <c r="C38" s="51" t="s">
        <v>83</v>
      </c>
      <c r="D38" s="95" t="s">
        <v>229</v>
      </c>
      <c r="E38" s="91" t="s">
        <v>228</v>
      </c>
      <c r="F38" s="362" t="s">
        <v>154</v>
      </c>
      <c r="G38" s="362" t="s">
        <v>155</v>
      </c>
      <c r="H38" s="362" t="s">
        <v>154</v>
      </c>
      <c r="I38" s="362" t="s">
        <v>155</v>
      </c>
      <c r="J38" s="362" t="s">
        <v>155</v>
      </c>
    </row>
    <row r="39" spans="1:10" ht="75" x14ac:dyDescent="0.25">
      <c r="A39" s="659"/>
      <c r="B39" s="665"/>
      <c r="C39" s="50" t="s">
        <v>58</v>
      </c>
      <c r="D39" s="94"/>
      <c r="E39" s="89" t="s">
        <v>232</v>
      </c>
      <c r="F39" s="362" t="s">
        <v>154</v>
      </c>
      <c r="G39" s="362" t="s">
        <v>152</v>
      </c>
      <c r="H39" s="362" t="s">
        <v>155</v>
      </c>
      <c r="I39" s="362" t="s">
        <v>155</v>
      </c>
      <c r="J39" s="362" t="s">
        <v>154</v>
      </c>
    </row>
    <row r="40" spans="1:10" ht="75" x14ac:dyDescent="0.25">
      <c r="A40" s="659"/>
      <c r="B40" s="665"/>
      <c r="C40" s="50" t="s">
        <v>55</v>
      </c>
      <c r="D40" s="94"/>
      <c r="E40" s="89" t="s">
        <v>231</v>
      </c>
      <c r="F40" s="362" t="s">
        <v>154</v>
      </c>
      <c r="G40" s="362" t="s">
        <v>152</v>
      </c>
      <c r="H40" s="362" t="s">
        <v>155</v>
      </c>
      <c r="I40" s="362" t="s">
        <v>155</v>
      </c>
      <c r="J40" s="362" t="s">
        <v>154</v>
      </c>
    </row>
    <row r="41" spans="1:10" ht="75" x14ac:dyDescent="0.25">
      <c r="A41" s="659"/>
      <c r="B41" s="665"/>
      <c r="C41" s="50" t="s">
        <v>61</v>
      </c>
      <c r="D41" s="94"/>
      <c r="E41" s="89" t="s">
        <v>230</v>
      </c>
      <c r="F41" s="362" t="s">
        <v>154</v>
      </c>
      <c r="G41" s="362" t="s">
        <v>152</v>
      </c>
      <c r="H41" s="362" t="s">
        <v>155</v>
      </c>
      <c r="I41" s="362" t="s">
        <v>155</v>
      </c>
      <c r="J41" s="362" t="s">
        <v>154</v>
      </c>
    </row>
    <row r="42" spans="1:10" ht="28.5" customHeight="1" x14ac:dyDescent="0.25">
      <c r="A42" s="659"/>
      <c r="B42" s="665" t="s">
        <v>285</v>
      </c>
      <c r="C42" s="50" t="s">
        <v>127</v>
      </c>
      <c r="D42" s="94" t="s">
        <v>234</v>
      </c>
      <c r="E42" s="89" t="s">
        <v>233</v>
      </c>
      <c r="F42" s="34" t="s">
        <v>152</v>
      </c>
      <c r="G42" s="34" t="s">
        <v>152</v>
      </c>
      <c r="H42" s="34" t="s">
        <v>155</v>
      </c>
      <c r="I42" s="34" t="s">
        <v>155</v>
      </c>
      <c r="J42" s="35" t="s">
        <v>152</v>
      </c>
    </row>
    <row r="43" spans="1:10" x14ac:dyDescent="0.25">
      <c r="A43" s="659"/>
      <c r="B43" s="665"/>
      <c r="C43" s="330" t="s">
        <v>1061</v>
      </c>
      <c r="D43" s="94"/>
      <c r="E43" s="89"/>
      <c r="F43" s="34"/>
      <c r="G43" s="34"/>
      <c r="H43" s="34"/>
      <c r="I43" s="34"/>
      <c r="J43" s="35"/>
    </row>
    <row r="44" spans="1:10" s="358" customFormat="1" ht="26.25" customHeight="1" x14ac:dyDescent="0.25">
      <c r="A44" s="659"/>
      <c r="B44" s="665" t="s">
        <v>288</v>
      </c>
      <c r="C44" s="52" t="s">
        <v>88</v>
      </c>
      <c r="D44" s="94" t="s">
        <v>191</v>
      </c>
      <c r="E44" s="89" t="s">
        <v>235</v>
      </c>
      <c r="F44" s="358" t="s">
        <v>152</v>
      </c>
      <c r="G44" s="358" t="s">
        <v>152</v>
      </c>
      <c r="H44" s="358" t="s">
        <v>155</v>
      </c>
      <c r="I44" s="358" t="s">
        <v>155</v>
      </c>
      <c r="J44" s="358" t="s">
        <v>154</v>
      </c>
    </row>
    <row r="45" spans="1:10" s="358" customFormat="1" ht="30" x14ac:dyDescent="0.25">
      <c r="A45" s="659"/>
      <c r="B45" s="665"/>
      <c r="C45" s="50" t="s">
        <v>89</v>
      </c>
      <c r="D45" s="94" t="s">
        <v>219</v>
      </c>
      <c r="E45" s="89" t="s">
        <v>236</v>
      </c>
      <c r="F45" s="358" t="s">
        <v>155</v>
      </c>
      <c r="G45" s="358" t="s">
        <v>155</v>
      </c>
      <c r="H45" s="358" t="s">
        <v>152</v>
      </c>
      <c r="I45" s="358" t="s">
        <v>152</v>
      </c>
      <c r="J45" s="358" t="s">
        <v>154</v>
      </c>
    </row>
    <row r="46" spans="1:10" ht="30" x14ac:dyDescent="0.25">
      <c r="A46" s="659"/>
      <c r="B46" s="665" t="s">
        <v>289</v>
      </c>
      <c r="C46" s="53" t="s">
        <v>109</v>
      </c>
      <c r="D46" s="95"/>
      <c r="E46" s="91" t="s">
        <v>237</v>
      </c>
      <c r="F46" s="362" t="s">
        <v>155</v>
      </c>
      <c r="G46" s="362" t="s">
        <v>155</v>
      </c>
      <c r="H46" s="362" t="s">
        <v>154</v>
      </c>
      <c r="I46" s="362" t="s">
        <v>152</v>
      </c>
      <c r="J46" s="362" t="s">
        <v>152</v>
      </c>
    </row>
    <row r="47" spans="1:10" ht="75" x14ac:dyDescent="0.25">
      <c r="A47" s="659"/>
      <c r="B47" s="665"/>
      <c r="C47" s="52" t="s">
        <v>107</v>
      </c>
      <c r="D47" s="94"/>
      <c r="E47" s="89" t="s">
        <v>238</v>
      </c>
      <c r="F47" s="362" t="s">
        <v>155</v>
      </c>
      <c r="G47" s="362" t="s">
        <v>155</v>
      </c>
      <c r="H47" s="362" t="s">
        <v>154</v>
      </c>
      <c r="I47" s="362" t="s">
        <v>152</v>
      </c>
      <c r="J47" s="362" t="s">
        <v>152</v>
      </c>
    </row>
    <row r="48" spans="1:10" ht="45" x14ac:dyDescent="0.25">
      <c r="A48" s="665"/>
      <c r="B48" s="665" t="s">
        <v>286</v>
      </c>
      <c r="C48" s="53" t="s">
        <v>115</v>
      </c>
      <c r="D48" s="95" t="s">
        <v>191</v>
      </c>
      <c r="E48" s="91" t="s">
        <v>266</v>
      </c>
      <c r="F48" s="362" t="s">
        <v>152</v>
      </c>
      <c r="G48" s="362" t="s">
        <v>152</v>
      </c>
      <c r="H48" s="362" t="s">
        <v>155</v>
      </c>
      <c r="I48" s="362" t="s">
        <v>155</v>
      </c>
      <c r="J48" s="362" t="s">
        <v>152</v>
      </c>
    </row>
    <row r="49" spans="1:10" ht="45" x14ac:dyDescent="0.25">
      <c r="A49" s="665"/>
      <c r="B49" s="665"/>
      <c r="C49" s="53" t="s">
        <v>116</v>
      </c>
      <c r="D49" s="95" t="s">
        <v>191</v>
      </c>
      <c r="E49" s="91" t="s">
        <v>266</v>
      </c>
      <c r="F49" s="362" t="s">
        <v>152</v>
      </c>
      <c r="G49" s="362" t="s">
        <v>152</v>
      </c>
      <c r="H49" s="362" t="s">
        <v>155</v>
      </c>
      <c r="I49" s="362" t="s">
        <v>155</v>
      </c>
      <c r="J49" s="362" t="s">
        <v>152</v>
      </c>
    </row>
    <row r="50" spans="1:10" ht="45" x14ac:dyDescent="0.25">
      <c r="A50" s="665"/>
      <c r="B50" s="665"/>
      <c r="C50" s="53" t="s">
        <v>120</v>
      </c>
      <c r="D50" s="95" t="s">
        <v>263</v>
      </c>
      <c r="E50" s="91" t="s">
        <v>262</v>
      </c>
      <c r="F50" s="362" t="s">
        <v>152</v>
      </c>
      <c r="G50" s="362" t="s">
        <v>152</v>
      </c>
      <c r="H50" s="362" t="s">
        <v>155</v>
      </c>
      <c r="I50" s="362" t="s">
        <v>155</v>
      </c>
      <c r="J50" s="362" t="s">
        <v>152</v>
      </c>
    </row>
    <row r="51" spans="1:10" ht="45" x14ac:dyDescent="0.25">
      <c r="A51" s="665"/>
      <c r="B51" s="665" t="s">
        <v>287</v>
      </c>
      <c r="C51" s="53" t="s">
        <v>117</v>
      </c>
      <c r="D51" s="95" t="s">
        <v>265</v>
      </c>
      <c r="E51" s="91" t="s">
        <v>264</v>
      </c>
      <c r="F51" s="362" t="s">
        <v>154</v>
      </c>
      <c r="G51" s="362" t="s">
        <v>152</v>
      </c>
      <c r="H51" s="362" t="s">
        <v>155</v>
      </c>
      <c r="I51" s="362" t="s">
        <v>155</v>
      </c>
      <c r="J51" s="362" t="s">
        <v>152</v>
      </c>
    </row>
    <row r="52" spans="1:10" ht="45" x14ac:dyDescent="0.25">
      <c r="A52" s="665"/>
      <c r="B52" s="665"/>
      <c r="C52" s="50" t="s">
        <v>134</v>
      </c>
      <c r="D52" s="94" t="s">
        <v>191</v>
      </c>
      <c r="E52" s="89" t="s">
        <v>261</v>
      </c>
      <c r="F52" s="474" t="s">
        <v>257</v>
      </c>
      <c r="G52" s="474"/>
      <c r="H52" s="39" t="s">
        <v>255</v>
      </c>
      <c r="I52" s="39"/>
      <c r="J52" s="474" t="s">
        <v>257</v>
      </c>
    </row>
    <row r="53" spans="1:10" x14ac:dyDescent="0.25">
      <c r="A53" s="36"/>
      <c r="B53" s="36"/>
    </row>
    <row r="54" spans="1:10" x14ac:dyDescent="0.25">
      <c r="A54" s="36"/>
      <c r="B54" s="36"/>
    </row>
    <row r="55" spans="1:10" x14ac:dyDescent="0.25">
      <c r="A55" s="36"/>
      <c r="B55" s="36"/>
    </row>
  </sheetData>
  <mergeCells count="20">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0"/>
  <sheetViews>
    <sheetView zoomScaleNormal="100" workbookViewId="0">
      <selection activeCell="E2" sqref="E2"/>
    </sheetView>
  </sheetViews>
  <sheetFormatPr defaultColWidth="9" defaultRowHeight="15" x14ac:dyDescent="0.25"/>
  <cols>
    <col min="1" max="1" width="14" style="97" bestFit="1" customWidth="1"/>
    <col min="2" max="2" width="38.5703125" style="97" bestFit="1" customWidth="1"/>
    <col min="3" max="3" width="23.85546875" style="97" bestFit="1" customWidth="1"/>
    <col min="4" max="5" width="18.7109375" style="97" bestFit="1" customWidth="1"/>
    <col min="6" max="16384" width="9" style="97"/>
  </cols>
  <sheetData>
    <row r="1" spans="1:5" x14ac:dyDescent="0.25">
      <c r="A1" s="97" t="s">
        <v>1535</v>
      </c>
      <c r="B1" s="97" t="s">
        <v>4</v>
      </c>
      <c r="C1" s="97" t="s">
        <v>268</v>
      </c>
      <c r="D1" s="97" t="s">
        <v>267</v>
      </c>
      <c r="E1" s="97" t="s">
        <v>269</v>
      </c>
    </row>
    <row r="2" spans="1:5" x14ac:dyDescent="0.25">
      <c r="A2" s="561">
        <v>0</v>
      </c>
      <c r="B2" s="561" t="s">
        <v>147</v>
      </c>
      <c r="C2" s="561">
        <v>1</v>
      </c>
      <c r="D2" s="561">
        <v>0.76085499999999995</v>
      </c>
      <c r="E2" s="561">
        <v>0.64232699999999998</v>
      </c>
    </row>
    <row r="3" spans="1:5" x14ac:dyDescent="0.25">
      <c r="A3" s="561">
        <v>1</v>
      </c>
      <c r="B3" s="561" t="s">
        <v>147</v>
      </c>
      <c r="C3" s="561">
        <v>2</v>
      </c>
      <c r="D3" s="561">
        <v>0.43804799999999999</v>
      </c>
      <c r="E3" s="561">
        <v>0.88489200000000001</v>
      </c>
    </row>
    <row r="4" spans="1:5" x14ac:dyDescent="0.25">
      <c r="A4" s="561">
        <v>2</v>
      </c>
      <c r="B4" s="561" t="s">
        <v>147</v>
      </c>
      <c r="C4" s="561">
        <v>3</v>
      </c>
      <c r="D4" s="561">
        <v>0.35904900000000001</v>
      </c>
      <c r="E4" s="561">
        <v>0.92750200000000005</v>
      </c>
    </row>
    <row r="5" spans="1:5" x14ac:dyDescent="0.25">
      <c r="A5" s="561">
        <v>3</v>
      </c>
      <c r="B5" s="561" t="s">
        <v>147</v>
      </c>
      <c r="C5" s="561">
        <v>4</v>
      </c>
      <c r="D5" s="561">
        <v>0.27285399999999999</v>
      </c>
      <c r="E5" s="561">
        <v>0.961727</v>
      </c>
    </row>
    <row r="6" spans="1:5" x14ac:dyDescent="0.25">
      <c r="A6" s="561">
        <v>4</v>
      </c>
      <c r="B6" s="561" t="s">
        <v>147</v>
      </c>
      <c r="C6" s="561">
        <v>5</v>
      </c>
      <c r="D6" s="561">
        <v>0.20979999999999999</v>
      </c>
      <c r="E6" s="561">
        <v>0.97870100000000004</v>
      </c>
    </row>
    <row r="7" spans="1:5" x14ac:dyDescent="0.25">
      <c r="A7" s="561">
        <v>5</v>
      </c>
      <c r="B7" s="561" t="s">
        <v>147</v>
      </c>
      <c r="C7" s="561">
        <v>6</v>
      </c>
      <c r="D7" s="561">
        <v>0.145176</v>
      </c>
      <c r="E7" s="561">
        <v>0.99055899999999997</v>
      </c>
    </row>
    <row r="8" spans="1:5" x14ac:dyDescent="0.25">
      <c r="A8" s="561">
        <v>0</v>
      </c>
      <c r="B8" s="561" t="s">
        <v>148</v>
      </c>
      <c r="C8" s="561">
        <v>1</v>
      </c>
      <c r="D8" s="561">
        <v>0.83349700000000004</v>
      </c>
      <c r="E8" s="561">
        <v>0.55428200000000005</v>
      </c>
    </row>
    <row r="9" spans="1:5" x14ac:dyDescent="0.25">
      <c r="A9" s="561">
        <v>1</v>
      </c>
      <c r="B9" s="561" t="s">
        <v>148</v>
      </c>
      <c r="C9" s="561">
        <v>2</v>
      </c>
      <c r="D9" s="561">
        <v>0.64288800000000001</v>
      </c>
      <c r="E9" s="561">
        <v>0.76847399999999999</v>
      </c>
    </row>
    <row r="10" spans="1:5" x14ac:dyDescent="0.25">
      <c r="A10" s="561">
        <v>2</v>
      </c>
      <c r="B10" s="561" t="s">
        <v>148</v>
      </c>
      <c r="C10" s="561">
        <v>3</v>
      </c>
      <c r="D10" s="561">
        <v>0.56054400000000004</v>
      </c>
      <c r="E10" s="561">
        <v>0.83208800000000005</v>
      </c>
    </row>
    <row r="11" spans="1:5" x14ac:dyDescent="0.25">
      <c r="A11" s="561">
        <v>3</v>
      </c>
      <c r="B11" s="561" t="s">
        <v>148</v>
      </c>
      <c r="C11" s="561">
        <v>4</v>
      </c>
      <c r="D11" s="561">
        <v>0.47803099999999998</v>
      </c>
      <c r="E11" s="561">
        <v>0.86977599999999999</v>
      </c>
    </row>
    <row r="12" spans="1:5" x14ac:dyDescent="0.25">
      <c r="A12" s="561">
        <v>4</v>
      </c>
      <c r="B12" s="561" t="s">
        <v>148</v>
      </c>
      <c r="C12" s="561">
        <v>5</v>
      </c>
      <c r="D12" s="561">
        <v>0.420956</v>
      </c>
      <c r="E12" s="561">
        <v>0.90872299999999995</v>
      </c>
    </row>
    <row r="13" spans="1:5" x14ac:dyDescent="0.25">
      <c r="A13" s="561">
        <v>5</v>
      </c>
      <c r="B13" s="561" t="s">
        <v>148</v>
      </c>
      <c r="C13" s="561">
        <v>6</v>
      </c>
      <c r="D13" s="561">
        <v>0.37139</v>
      </c>
      <c r="E13" s="561">
        <v>0.93667400000000001</v>
      </c>
    </row>
    <row r="14" spans="1:5" x14ac:dyDescent="0.25">
      <c r="A14" s="561">
        <v>6</v>
      </c>
      <c r="B14" s="561" t="s">
        <v>148</v>
      </c>
      <c r="C14" s="561">
        <v>7</v>
      </c>
      <c r="D14" s="561">
        <v>0.30809700000000001</v>
      </c>
      <c r="E14" s="561">
        <v>0.95980799999999999</v>
      </c>
    </row>
    <row r="15" spans="1:5" x14ac:dyDescent="0.25">
      <c r="A15" s="561">
        <v>7</v>
      </c>
      <c r="B15" s="561" t="s">
        <v>148</v>
      </c>
      <c r="C15" s="561">
        <v>8</v>
      </c>
      <c r="D15" s="561">
        <v>0.25934400000000002</v>
      </c>
      <c r="E15" s="561">
        <v>0.97514299999999998</v>
      </c>
    </row>
    <row r="16" spans="1:5" x14ac:dyDescent="0.25">
      <c r="A16" s="561">
        <v>8</v>
      </c>
      <c r="B16" s="561" t="s">
        <v>148</v>
      </c>
      <c r="C16" s="561">
        <v>9</v>
      </c>
      <c r="D16" s="561">
        <v>0.184669</v>
      </c>
      <c r="E16" s="561">
        <v>0.98685100000000003</v>
      </c>
    </row>
    <row r="17" spans="1:5" x14ac:dyDescent="0.25">
      <c r="A17" s="561">
        <v>9</v>
      </c>
      <c r="B17" s="561" t="s">
        <v>148</v>
      </c>
      <c r="C17" s="561">
        <v>10</v>
      </c>
      <c r="D17" s="561">
        <v>0.145949</v>
      </c>
      <c r="E17" s="561">
        <v>0.99279899999999999</v>
      </c>
    </row>
    <row r="18" spans="1:5" x14ac:dyDescent="0.25">
      <c r="A18" s="561">
        <v>0</v>
      </c>
      <c r="B18" s="561" t="s">
        <v>149</v>
      </c>
      <c r="C18" s="561">
        <v>1</v>
      </c>
      <c r="D18" s="561">
        <v>0.78509300000000004</v>
      </c>
      <c r="E18" s="561">
        <v>0.63210200000000005</v>
      </c>
    </row>
    <row r="19" spans="1:5" x14ac:dyDescent="0.25">
      <c r="A19" s="561">
        <v>1</v>
      </c>
      <c r="B19" s="561" t="s">
        <v>149</v>
      </c>
      <c r="C19" s="561">
        <v>2</v>
      </c>
      <c r="D19" s="561">
        <v>0.52456000000000003</v>
      </c>
      <c r="E19" s="561">
        <v>0.82446600000000003</v>
      </c>
    </row>
    <row r="20" spans="1:5" x14ac:dyDescent="0.25">
      <c r="A20" s="561">
        <v>2</v>
      </c>
      <c r="B20" s="561" t="s">
        <v>149</v>
      </c>
      <c r="C20" s="561">
        <v>3</v>
      </c>
      <c r="D20" s="561">
        <v>0.44832</v>
      </c>
      <c r="E20" s="561">
        <v>0.88036700000000001</v>
      </c>
    </row>
    <row r="21" spans="1:5" x14ac:dyDescent="0.25">
      <c r="A21" s="561">
        <v>3</v>
      </c>
      <c r="B21" s="561" t="s">
        <v>149</v>
      </c>
      <c r="C21" s="561">
        <v>4</v>
      </c>
      <c r="D21" s="561">
        <v>0.33824300000000002</v>
      </c>
      <c r="E21" s="561">
        <v>0.92736700000000005</v>
      </c>
    </row>
    <row r="22" spans="1:5" x14ac:dyDescent="0.25">
      <c r="A22" s="561">
        <v>4</v>
      </c>
      <c r="B22" s="561" t="s">
        <v>149</v>
      </c>
      <c r="C22" s="561">
        <v>5</v>
      </c>
      <c r="D22" s="561">
        <v>0.27787000000000001</v>
      </c>
      <c r="E22" s="561">
        <v>0.95018599999999998</v>
      </c>
    </row>
    <row r="23" spans="1:5" x14ac:dyDescent="0.25">
      <c r="A23" s="561">
        <v>5</v>
      </c>
      <c r="B23" s="561" t="s">
        <v>149</v>
      </c>
      <c r="C23" s="561">
        <v>6</v>
      </c>
      <c r="D23" s="561">
        <v>0.18163699999999999</v>
      </c>
      <c r="E23" s="561">
        <v>0.97352499999999997</v>
      </c>
    </row>
    <row r="24" spans="1:5" x14ac:dyDescent="0.25">
      <c r="A24" s="561">
        <v>6</v>
      </c>
      <c r="B24" s="561" t="s">
        <v>149</v>
      </c>
      <c r="C24" s="561">
        <v>7</v>
      </c>
      <c r="D24" s="561">
        <v>0.13430400000000001</v>
      </c>
      <c r="E24" s="561">
        <v>0.98438700000000001</v>
      </c>
    </row>
    <row r="25" spans="1:5" x14ac:dyDescent="0.25">
      <c r="A25" s="561">
        <v>7</v>
      </c>
      <c r="B25" s="561" t="s">
        <v>149</v>
      </c>
      <c r="C25" s="561">
        <v>8</v>
      </c>
      <c r="D25" s="561">
        <v>9.8757999999999999E-2</v>
      </c>
      <c r="E25" s="561">
        <v>0.989788</v>
      </c>
    </row>
    <row r="26" spans="1:5" x14ac:dyDescent="0.25">
      <c r="A26" s="561">
        <v>8</v>
      </c>
      <c r="B26" s="561" t="s">
        <v>149</v>
      </c>
      <c r="C26" s="561">
        <v>9</v>
      </c>
      <c r="D26" s="561">
        <v>7.0442000000000005E-2</v>
      </c>
      <c r="E26" s="561">
        <v>0.99465599999999998</v>
      </c>
    </row>
    <row r="27" spans="1:5" x14ac:dyDescent="0.25">
      <c r="A27" s="561">
        <v>0</v>
      </c>
      <c r="B27" s="561" t="s">
        <v>150</v>
      </c>
      <c r="C27" s="561">
        <v>1</v>
      </c>
      <c r="D27" s="561">
        <v>0.81103800000000004</v>
      </c>
      <c r="E27" s="561">
        <v>0.55508000000000002</v>
      </c>
    </row>
    <row r="28" spans="1:5" x14ac:dyDescent="0.25">
      <c r="A28" s="561">
        <v>1</v>
      </c>
      <c r="B28" s="561" t="s">
        <v>150</v>
      </c>
      <c r="C28" s="561">
        <v>2</v>
      </c>
      <c r="D28" s="561">
        <v>0.61854100000000001</v>
      </c>
      <c r="E28" s="561">
        <v>0.76652100000000001</v>
      </c>
    </row>
    <row r="29" spans="1:5" x14ac:dyDescent="0.25">
      <c r="A29" s="561">
        <v>2</v>
      </c>
      <c r="B29" s="561" t="s">
        <v>150</v>
      </c>
      <c r="C29" s="561">
        <v>3</v>
      </c>
      <c r="D29" s="561">
        <v>0.48713499999999998</v>
      </c>
      <c r="E29" s="561">
        <v>0.86566200000000004</v>
      </c>
    </row>
    <row r="30" spans="1:5" x14ac:dyDescent="0.25">
      <c r="A30" s="561">
        <v>3</v>
      </c>
      <c r="B30" s="561" t="s">
        <v>150</v>
      </c>
      <c r="C30" s="561">
        <v>4</v>
      </c>
      <c r="D30" s="561">
        <v>0.38903599999999999</v>
      </c>
      <c r="E30" s="561">
        <v>0.92818299999999998</v>
      </c>
    </row>
    <row r="31" spans="1:5" x14ac:dyDescent="0.25">
      <c r="A31" s="561">
        <v>4</v>
      </c>
      <c r="B31" s="561" t="s">
        <v>150</v>
      </c>
      <c r="C31" s="561">
        <v>5</v>
      </c>
      <c r="D31" s="561">
        <v>0.322521</v>
      </c>
      <c r="E31" s="561">
        <v>0.95015400000000005</v>
      </c>
    </row>
    <row r="32" spans="1:5" x14ac:dyDescent="0.25">
      <c r="A32" s="561">
        <v>5</v>
      </c>
      <c r="B32" s="561" t="s">
        <v>150</v>
      </c>
      <c r="C32" s="561">
        <v>6</v>
      </c>
      <c r="D32" s="561">
        <v>0.24909200000000001</v>
      </c>
      <c r="E32" s="561">
        <v>0.96776700000000004</v>
      </c>
    </row>
    <row r="33" spans="1:5" x14ac:dyDescent="0.25">
      <c r="A33" s="561">
        <v>6</v>
      </c>
      <c r="B33" s="561" t="s">
        <v>150</v>
      </c>
      <c r="C33" s="561">
        <v>7</v>
      </c>
      <c r="D33" s="561">
        <v>0.175293</v>
      </c>
      <c r="E33" s="561">
        <v>0.98246599999999995</v>
      </c>
    </row>
    <row r="34" spans="1:5" x14ac:dyDescent="0.25">
      <c r="A34" s="561">
        <v>7</v>
      </c>
      <c r="B34" s="561" t="s">
        <v>150</v>
      </c>
      <c r="C34" s="561">
        <v>8</v>
      </c>
      <c r="D34" s="561">
        <v>0.12517400000000001</v>
      </c>
      <c r="E34" s="561">
        <v>0.992425</v>
      </c>
    </row>
    <row r="35" spans="1:5" x14ac:dyDescent="0.25">
      <c r="A35" s="561">
        <v>0</v>
      </c>
      <c r="B35" s="561" t="s">
        <v>19</v>
      </c>
      <c r="C35" s="561">
        <v>1</v>
      </c>
      <c r="D35" s="561">
        <v>0.38337100000000002</v>
      </c>
      <c r="E35" s="561">
        <v>0.90768899999999997</v>
      </c>
    </row>
    <row r="36" spans="1:5" x14ac:dyDescent="0.25">
      <c r="A36" s="561">
        <v>1</v>
      </c>
      <c r="B36" s="561" t="s">
        <v>19</v>
      </c>
      <c r="C36" s="561">
        <v>2</v>
      </c>
      <c r="D36" s="561">
        <v>0.29224600000000001</v>
      </c>
      <c r="E36" s="561">
        <v>0.94330800000000004</v>
      </c>
    </row>
    <row r="37" spans="1:5" x14ac:dyDescent="0.25">
      <c r="A37" s="561">
        <v>2</v>
      </c>
      <c r="B37" s="561" t="s">
        <v>19</v>
      </c>
      <c r="C37" s="561">
        <v>3</v>
      </c>
      <c r="D37" s="561">
        <v>0.21878300000000001</v>
      </c>
      <c r="E37" s="561">
        <v>0.96716899999999995</v>
      </c>
    </row>
    <row r="38" spans="1:5" x14ac:dyDescent="0.25">
      <c r="A38" s="561">
        <v>3</v>
      </c>
      <c r="B38" s="561" t="s">
        <v>19</v>
      </c>
      <c r="C38" s="561">
        <v>4</v>
      </c>
      <c r="D38" s="561">
        <v>0.124069</v>
      </c>
      <c r="E38" s="561">
        <v>0.98852399999999996</v>
      </c>
    </row>
    <row r="39" spans="1:5" x14ac:dyDescent="0.25">
      <c r="A39" s="561">
        <v>4</v>
      </c>
      <c r="B39" s="561" t="s">
        <v>19</v>
      </c>
      <c r="C39" s="561">
        <v>5</v>
      </c>
      <c r="D39" s="561">
        <v>9.9097000000000005E-2</v>
      </c>
      <c r="E39" s="561">
        <v>0.99325699999999995</v>
      </c>
    </row>
    <row r="40" spans="1:5" x14ac:dyDescent="0.25">
      <c r="A40" s="561">
        <v>0</v>
      </c>
      <c r="B40" s="561" t="s">
        <v>20</v>
      </c>
      <c r="C40" s="561">
        <v>1</v>
      </c>
      <c r="D40" s="561">
        <v>0.801257</v>
      </c>
      <c r="E40" s="561">
        <v>0.55642400000000003</v>
      </c>
    </row>
    <row r="41" spans="1:5" x14ac:dyDescent="0.25">
      <c r="A41" s="561">
        <v>1</v>
      </c>
      <c r="B41" s="561" t="s">
        <v>20</v>
      </c>
      <c r="C41" s="561">
        <v>2</v>
      </c>
      <c r="D41" s="561">
        <v>0.58545700000000001</v>
      </c>
      <c r="E41" s="561">
        <v>0.80182799999999999</v>
      </c>
    </row>
    <row r="42" spans="1:5" x14ac:dyDescent="0.25">
      <c r="A42" s="561">
        <v>2</v>
      </c>
      <c r="B42" s="561" t="s">
        <v>20</v>
      </c>
      <c r="C42" s="561">
        <v>3</v>
      </c>
      <c r="D42" s="561">
        <v>0.41320699999999999</v>
      </c>
      <c r="E42" s="561">
        <v>0.90205500000000005</v>
      </c>
    </row>
    <row r="43" spans="1:5" x14ac:dyDescent="0.25">
      <c r="A43" s="561">
        <v>3</v>
      </c>
      <c r="B43" s="561" t="s">
        <v>20</v>
      </c>
      <c r="C43" s="561">
        <v>4</v>
      </c>
      <c r="D43" s="561">
        <v>0.33890500000000001</v>
      </c>
      <c r="E43" s="561">
        <v>0.94143299999999996</v>
      </c>
    </row>
    <row r="44" spans="1:5" x14ac:dyDescent="0.25">
      <c r="A44" s="561">
        <v>4</v>
      </c>
      <c r="B44" s="561" t="s">
        <v>20</v>
      </c>
      <c r="C44" s="561">
        <v>5</v>
      </c>
      <c r="D44" s="561">
        <v>0.25822600000000001</v>
      </c>
      <c r="E44" s="561">
        <v>0.96769300000000003</v>
      </c>
    </row>
    <row r="45" spans="1:5" x14ac:dyDescent="0.25">
      <c r="A45" s="561">
        <v>5</v>
      </c>
      <c r="B45" s="561" t="s">
        <v>20</v>
      </c>
      <c r="C45" s="561">
        <v>6</v>
      </c>
      <c r="D45" s="561">
        <v>0.168516</v>
      </c>
      <c r="E45" s="561">
        <v>0.98229200000000005</v>
      </c>
    </row>
    <row r="46" spans="1:5" x14ac:dyDescent="0.25">
      <c r="A46" s="561">
        <v>6</v>
      </c>
      <c r="B46" s="561" t="s">
        <v>20</v>
      </c>
      <c r="C46" s="561">
        <v>7</v>
      </c>
      <c r="D46" s="561">
        <v>0.119849</v>
      </c>
      <c r="E46" s="561">
        <v>0.99200100000000002</v>
      </c>
    </row>
    <row r="47" spans="1:5" x14ac:dyDescent="0.25">
      <c r="A47" s="561">
        <v>0</v>
      </c>
      <c r="B47" s="561" t="s">
        <v>21</v>
      </c>
      <c r="C47" s="561">
        <v>1</v>
      </c>
      <c r="D47" s="561">
        <v>0.86965599999999998</v>
      </c>
      <c r="E47" s="561">
        <v>0.47077200000000002</v>
      </c>
    </row>
    <row r="48" spans="1:5" x14ac:dyDescent="0.25">
      <c r="A48" s="561">
        <v>1</v>
      </c>
      <c r="B48" s="561" t="s">
        <v>21</v>
      </c>
      <c r="C48" s="561">
        <v>2</v>
      </c>
      <c r="D48" s="561">
        <v>0.73465000000000003</v>
      </c>
      <c r="E48" s="561">
        <v>0.67598400000000003</v>
      </c>
    </row>
    <row r="49" spans="1:5" x14ac:dyDescent="0.25">
      <c r="A49" s="561">
        <v>2</v>
      </c>
      <c r="B49" s="561" t="s">
        <v>21</v>
      </c>
      <c r="C49" s="561">
        <v>3</v>
      </c>
      <c r="D49" s="561">
        <v>0.58628599999999997</v>
      </c>
      <c r="E49" s="561">
        <v>0.80528900000000003</v>
      </c>
    </row>
    <row r="50" spans="1:5" x14ac:dyDescent="0.25">
      <c r="A50" s="561">
        <v>3</v>
      </c>
      <c r="B50" s="561" t="s">
        <v>21</v>
      </c>
      <c r="C50" s="561">
        <v>4</v>
      </c>
      <c r="D50" s="561">
        <v>0.52240799999999998</v>
      </c>
      <c r="E50" s="561">
        <v>0.84172599999999997</v>
      </c>
    </row>
    <row r="51" spans="1:5" x14ac:dyDescent="0.25">
      <c r="A51" s="561">
        <v>4</v>
      </c>
      <c r="B51" s="561" t="s">
        <v>21</v>
      </c>
      <c r="C51" s="561">
        <v>5</v>
      </c>
      <c r="D51" s="561">
        <v>0.50077799999999995</v>
      </c>
      <c r="E51" s="561">
        <v>0.859209</v>
      </c>
    </row>
    <row r="52" spans="1:5" x14ac:dyDescent="0.25">
      <c r="A52" s="561">
        <v>5</v>
      </c>
      <c r="B52" s="561" t="s">
        <v>21</v>
      </c>
      <c r="C52" s="561">
        <v>6</v>
      </c>
      <c r="D52" s="561">
        <v>0.48003200000000001</v>
      </c>
      <c r="E52" s="561">
        <v>0.87539</v>
      </c>
    </row>
    <row r="53" spans="1:5" x14ac:dyDescent="0.25">
      <c r="A53" s="561">
        <v>6</v>
      </c>
      <c r="B53" s="561" t="s">
        <v>21</v>
      </c>
      <c r="C53" s="561">
        <v>7</v>
      </c>
      <c r="D53" s="561">
        <v>0.46071499999999999</v>
      </c>
      <c r="E53" s="561">
        <v>0.89155200000000001</v>
      </c>
    </row>
    <row r="54" spans="1:5" x14ac:dyDescent="0.25">
      <c r="A54" s="561">
        <v>7</v>
      </c>
      <c r="B54" s="561" t="s">
        <v>21</v>
      </c>
      <c r="C54" s="561">
        <v>8</v>
      </c>
      <c r="D54" s="561">
        <v>0.40527800000000003</v>
      </c>
      <c r="E54" s="561">
        <v>0.91941399999999995</v>
      </c>
    </row>
    <row r="55" spans="1:5" x14ac:dyDescent="0.25">
      <c r="A55" s="561">
        <v>8</v>
      </c>
      <c r="B55" s="561" t="s">
        <v>21</v>
      </c>
      <c r="C55" s="561">
        <v>9</v>
      </c>
      <c r="D55" s="561">
        <v>0.372668</v>
      </c>
      <c r="E55" s="561">
        <v>0.93304799999999999</v>
      </c>
    </row>
    <row r="56" spans="1:5" x14ac:dyDescent="0.25">
      <c r="A56" s="561">
        <v>9</v>
      </c>
      <c r="B56" s="561" t="s">
        <v>21</v>
      </c>
      <c r="C56" s="561">
        <v>10</v>
      </c>
      <c r="D56" s="561">
        <v>0.31157600000000002</v>
      </c>
      <c r="E56" s="561">
        <v>0.95029399999999997</v>
      </c>
    </row>
    <row r="57" spans="1:5" x14ac:dyDescent="0.25">
      <c r="A57" s="561">
        <v>10</v>
      </c>
      <c r="B57" s="561" t="s">
        <v>21</v>
      </c>
      <c r="C57" s="561">
        <v>11</v>
      </c>
      <c r="D57" s="561">
        <v>0.26438600000000001</v>
      </c>
      <c r="E57" s="561">
        <v>0.96121100000000004</v>
      </c>
    </row>
    <row r="58" spans="1:5" x14ac:dyDescent="0.25">
      <c r="A58" s="561">
        <v>11</v>
      </c>
      <c r="B58" s="561" t="s">
        <v>21</v>
      </c>
      <c r="C58" s="561">
        <v>12</v>
      </c>
      <c r="D58" s="561">
        <v>0.23713400000000001</v>
      </c>
      <c r="E58" s="561">
        <v>0.96870000000000001</v>
      </c>
    </row>
    <row r="59" spans="1:5" x14ac:dyDescent="0.25">
      <c r="A59" s="561">
        <v>12</v>
      </c>
      <c r="B59" s="561" t="s">
        <v>21</v>
      </c>
      <c r="C59" s="561">
        <v>13</v>
      </c>
      <c r="D59" s="561">
        <v>0.186306</v>
      </c>
      <c r="E59" s="561">
        <v>0.97711599999999998</v>
      </c>
    </row>
    <row r="60" spans="1:5" x14ac:dyDescent="0.25">
      <c r="A60" s="561">
        <v>13</v>
      </c>
      <c r="B60" s="561" t="s">
        <v>21</v>
      </c>
      <c r="C60" s="561">
        <v>14</v>
      </c>
      <c r="D60" s="561">
        <v>0.130138</v>
      </c>
      <c r="E60" s="561">
        <v>0.98186899999999999</v>
      </c>
    </row>
    <row r="61" spans="1:5" x14ac:dyDescent="0.25">
      <c r="A61" s="561">
        <v>14</v>
      </c>
      <c r="B61" s="561" t="s">
        <v>21</v>
      </c>
      <c r="C61" s="561">
        <v>15</v>
      </c>
      <c r="D61" s="561">
        <v>5.8649E-2</v>
      </c>
      <c r="E61" s="561">
        <v>0.99323600000000001</v>
      </c>
    </row>
    <row r="62" spans="1:5" x14ac:dyDescent="0.25">
      <c r="A62" s="561">
        <v>0</v>
      </c>
      <c r="B62" s="561" t="s">
        <v>22</v>
      </c>
      <c r="C62" s="561">
        <v>1</v>
      </c>
      <c r="D62" s="561">
        <v>0.85469300000000004</v>
      </c>
      <c r="E62" s="561">
        <v>0.50044599999999995</v>
      </c>
    </row>
    <row r="63" spans="1:5" x14ac:dyDescent="0.25">
      <c r="A63" s="561">
        <v>1</v>
      </c>
      <c r="B63" s="561" t="s">
        <v>22</v>
      </c>
      <c r="C63" s="561">
        <v>2</v>
      </c>
      <c r="D63" s="561">
        <v>0.69525599999999999</v>
      </c>
      <c r="E63" s="561">
        <v>0.67507099999999998</v>
      </c>
    </row>
    <row r="64" spans="1:5" x14ac:dyDescent="0.25">
      <c r="A64" s="561">
        <v>2</v>
      </c>
      <c r="B64" s="561" t="s">
        <v>22</v>
      </c>
      <c r="C64" s="561">
        <v>3</v>
      </c>
      <c r="D64" s="561">
        <v>0.55328100000000002</v>
      </c>
      <c r="E64" s="561">
        <v>0.82299</v>
      </c>
    </row>
    <row r="65" spans="1:5" x14ac:dyDescent="0.25">
      <c r="A65" s="561">
        <v>3</v>
      </c>
      <c r="B65" s="561" t="s">
        <v>22</v>
      </c>
      <c r="C65" s="561">
        <v>4</v>
      </c>
      <c r="D65" s="561">
        <v>0.49168000000000001</v>
      </c>
      <c r="E65" s="561">
        <v>0.867309</v>
      </c>
    </row>
    <row r="66" spans="1:5" x14ac:dyDescent="0.25">
      <c r="A66" s="561">
        <v>4</v>
      </c>
      <c r="B66" s="561" t="s">
        <v>22</v>
      </c>
      <c r="C66" s="561">
        <v>5</v>
      </c>
      <c r="D66" s="561">
        <v>0.45874999999999999</v>
      </c>
      <c r="E66" s="561">
        <v>0.88837600000000005</v>
      </c>
    </row>
    <row r="67" spans="1:5" x14ac:dyDescent="0.25">
      <c r="A67" s="561">
        <v>5</v>
      </c>
      <c r="B67" s="561" t="s">
        <v>22</v>
      </c>
      <c r="C67" s="561">
        <v>6</v>
      </c>
      <c r="D67" s="561">
        <v>0.41181800000000002</v>
      </c>
      <c r="E67" s="561">
        <v>0.90754500000000005</v>
      </c>
    </row>
    <row r="68" spans="1:5" x14ac:dyDescent="0.25">
      <c r="A68" s="561">
        <v>6</v>
      </c>
      <c r="B68" s="561" t="s">
        <v>22</v>
      </c>
      <c r="C68" s="561">
        <v>7</v>
      </c>
      <c r="D68" s="561">
        <v>0.36333399999999999</v>
      </c>
      <c r="E68" s="561">
        <v>0.92783199999999999</v>
      </c>
    </row>
    <row r="69" spans="1:5" x14ac:dyDescent="0.25">
      <c r="A69" s="561">
        <v>7</v>
      </c>
      <c r="B69" s="561" t="s">
        <v>22</v>
      </c>
      <c r="C69" s="561">
        <v>8</v>
      </c>
      <c r="D69" s="561">
        <v>0.30071599999999998</v>
      </c>
      <c r="E69" s="561">
        <v>0.94902900000000001</v>
      </c>
    </row>
    <row r="70" spans="1:5" x14ac:dyDescent="0.25">
      <c r="A70" s="561">
        <v>8</v>
      </c>
      <c r="B70" s="561" t="s">
        <v>22</v>
      </c>
      <c r="C70" s="561">
        <v>9</v>
      </c>
      <c r="D70" s="561">
        <v>0.28432200000000002</v>
      </c>
      <c r="E70" s="561">
        <v>0.95868900000000001</v>
      </c>
    </row>
    <row r="71" spans="1:5" x14ac:dyDescent="0.25">
      <c r="A71" s="561">
        <v>9</v>
      </c>
      <c r="B71" s="561" t="s">
        <v>22</v>
      </c>
      <c r="C71" s="561">
        <v>10</v>
      </c>
      <c r="D71" s="561">
        <v>0.25653700000000002</v>
      </c>
      <c r="E71" s="561">
        <v>0.96540199999999998</v>
      </c>
    </row>
    <row r="72" spans="1:5" x14ac:dyDescent="0.25">
      <c r="A72" s="561">
        <v>10</v>
      </c>
      <c r="B72" s="561" t="s">
        <v>22</v>
      </c>
      <c r="C72" s="561">
        <v>11</v>
      </c>
      <c r="D72" s="561">
        <v>0.19625600000000001</v>
      </c>
      <c r="E72" s="561">
        <v>0.97988900000000001</v>
      </c>
    </row>
    <row r="73" spans="1:5" x14ac:dyDescent="0.25">
      <c r="A73" s="561">
        <v>11</v>
      </c>
      <c r="B73" s="561" t="s">
        <v>22</v>
      </c>
      <c r="C73" s="561">
        <v>12</v>
      </c>
      <c r="D73" s="561">
        <v>0.17965300000000001</v>
      </c>
      <c r="E73" s="561">
        <v>0.98211099999999996</v>
      </c>
    </row>
    <row r="74" spans="1:5" x14ac:dyDescent="0.25">
      <c r="A74" s="561">
        <v>12</v>
      </c>
      <c r="B74" s="561" t="s">
        <v>22</v>
      </c>
      <c r="C74" s="561">
        <v>13</v>
      </c>
      <c r="D74" s="561">
        <v>0.15049199999999999</v>
      </c>
      <c r="E74" s="561">
        <v>0.98476900000000001</v>
      </c>
    </row>
    <row r="75" spans="1:5" x14ac:dyDescent="0.25">
      <c r="A75" s="561">
        <v>13</v>
      </c>
      <c r="B75" s="561" t="s">
        <v>22</v>
      </c>
      <c r="C75" s="561">
        <v>14</v>
      </c>
      <c r="D75" s="561">
        <v>9.4672000000000006E-2</v>
      </c>
      <c r="E75" s="561">
        <v>0.99222900000000003</v>
      </c>
    </row>
    <row r="76" spans="1:5" x14ac:dyDescent="0.25">
      <c r="A76" s="561">
        <v>0</v>
      </c>
      <c r="B76" s="561" t="s">
        <v>23</v>
      </c>
      <c r="C76" s="561">
        <v>1</v>
      </c>
      <c r="D76" s="561">
        <v>0.85017100000000001</v>
      </c>
      <c r="E76" s="561">
        <v>0.49438599999999999</v>
      </c>
    </row>
    <row r="77" spans="1:5" x14ac:dyDescent="0.25">
      <c r="A77" s="561">
        <v>1</v>
      </c>
      <c r="B77" s="561" t="s">
        <v>23</v>
      </c>
      <c r="C77" s="561">
        <v>2</v>
      </c>
      <c r="D77" s="561">
        <v>0.68812200000000001</v>
      </c>
      <c r="E77" s="561">
        <v>0.68951200000000001</v>
      </c>
    </row>
    <row r="78" spans="1:5" x14ac:dyDescent="0.25">
      <c r="A78" s="561">
        <v>2</v>
      </c>
      <c r="B78" s="561" t="s">
        <v>23</v>
      </c>
      <c r="C78" s="561">
        <v>3</v>
      </c>
      <c r="D78" s="561">
        <v>0.54759400000000003</v>
      </c>
      <c r="E78" s="561">
        <v>0.84019999999999995</v>
      </c>
    </row>
    <row r="79" spans="1:5" x14ac:dyDescent="0.25">
      <c r="A79" s="561">
        <v>3</v>
      </c>
      <c r="B79" s="561" t="s">
        <v>23</v>
      </c>
      <c r="C79" s="561">
        <v>4</v>
      </c>
      <c r="D79" s="561">
        <v>0.48864400000000002</v>
      </c>
      <c r="E79" s="561">
        <v>0.87166600000000005</v>
      </c>
    </row>
    <row r="80" spans="1:5" x14ac:dyDescent="0.25">
      <c r="A80" s="561">
        <v>4</v>
      </c>
      <c r="B80" s="561" t="s">
        <v>23</v>
      </c>
      <c r="C80" s="561">
        <v>5</v>
      </c>
      <c r="D80" s="561">
        <v>0.44849899999999998</v>
      </c>
      <c r="E80" s="561">
        <v>0.89726899999999998</v>
      </c>
    </row>
    <row r="81" spans="1:5" x14ac:dyDescent="0.25">
      <c r="A81" s="561">
        <v>5</v>
      </c>
      <c r="B81" s="561" t="s">
        <v>23</v>
      </c>
      <c r="C81" s="561">
        <v>6</v>
      </c>
      <c r="D81" s="561">
        <v>0.39839000000000002</v>
      </c>
      <c r="E81" s="561">
        <v>0.91694399999999998</v>
      </c>
    </row>
    <row r="82" spans="1:5" x14ac:dyDescent="0.25">
      <c r="A82" s="561">
        <v>6</v>
      </c>
      <c r="B82" s="561" t="s">
        <v>23</v>
      </c>
      <c r="C82" s="561">
        <v>7</v>
      </c>
      <c r="D82" s="561">
        <v>0.37557200000000002</v>
      </c>
      <c r="E82" s="561">
        <v>0.93044300000000002</v>
      </c>
    </row>
    <row r="83" spans="1:5" x14ac:dyDescent="0.25">
      <c r="A83" s="561">
        <v>7</v>
      </c>
      <c r="B83" s="561" t="s">
        <v>23</v>
      </c>
      <c r="C83" s="561">
        <v>8</v>
      </c>
      <c r="D83" s="561">
        <v>0.32821499999999998</v>
      </c>
      <c r="E83" s="561">
        <v>0.94625700000000001</v>
      </c>
    </row>
    <row r="84" spans="1:5" x14ac:dyDescent="0.25">
      <c r="A84" s="561">
        <v>8</v>
      </c>
      <c r="B84" s="561" t="s">
        <v>23</v>
      </c>
      <c r="C84" s="561">
        <v>9</v>
      </c>
      <c r="D84" s="561">
        <v>0.27356999999999998</v>
      </c>
      <c r="E84" s="561">
        <v>0.96260599999999996</v>
      </c>
    </row>
    <row r="85" spans="1:5" x14ac:dyDescent="0.25">
      <c r="A85" s="561">
        <v>9</v>
      </c>
      <c r="B85" s="561" t="s">
        <v>23</v>
      </c>
      <c r="C85" s="561">
        <v>10</v>
      </c>
      <c r="D85" s="561">
        <v>0.214202</v>
      </c>
      <c r="E85" s="561">
        <v>0.97121000000000002</v>
      </c>
    </row>
    <row r="86" spans="1:5" x14ac:dyDescent="0.25">
      <c r="A86" s="561">
        <v>10</v>
      </c>
      <c r="B86" s="561" t="s">
        <v>23</v>
      </c>
      <c r="C86" s="561">
        <v>11</v>
      </c>
      <c r="D86" s="561">
        <v>0.183508</v>
      </c>
      <c r="E86" s="561">
        <v>0.97786799999999996</v>
      </c>
    </row>
    <row r="87" spans="1:5" x14ac:dyDescent="0.25">
      <c r="A87" s="561">
        <v>11</v>
      </c>
      <c r="B87" s="561" t="s">
        <v>23</v>
      </c>
      <c r="C87" s="561">
        <v>12</v>
      </c>
      <c r="D87" s="561">
        <v>0.146507</v>
      </c>
      <c r="E87" s="561">
        <v>0.98667199999999999</v>
      </c>
    </row>
    <row r="88" spans="1:5" x14ac:dyDescent="0.25">
      <c r="A88" s="561">
        <v>12</v>
      </c>
      <c r="B88" s="561" t="s">
        <v>23</v>
      </c>
      <c r="C88" s="561">
        <v>13</v>
      </c>
      <c r="D88" s="561">
        <v>0.13731299999999999</v>
      </c>
      <c r="E88" s="561">
        <v>0.98740300000000003</v>
      </c>
    </row>
    <row r="89" spans="1:5" x14ac:dyDescent="0.25">
      <c r="A89" s="561">
        <v>13</v>
      </c>
      <c r="B89" s="561" t="s">
        <v>23</v>
      </c>
      <c r="C89" s="561">
        <v>14</v>
      </c>
      <c r="D89" s="561">
        <v>0.12860099999999999</v>
      </c>
      <c r="E89" s="561">
        <v>0.98814199999999996</v>
      </c>
    </row>
    <row r="90" spans="1:5" x14ac:dyDescent="0.25">
      <c r="A90" s="561">
        <v>14</v>
      </c>
      <c r="B90" s="561" t="s">
        <v>23</v>
      </c>
      <c r="C90" s="561">
        <v>15</v>
      </c>
      <c r="D90" s="561">
        <v>9.8749000000000003E-2</v>
      </c>
      <c r="E90" s="561">
        <v>0.98875800000000003</v>
      </c>
    </row>
    <row r="91" spans="1:5" x14ac:dyDescent="0.25">
      <c r="A91" s="561">
        <v>15</v>
      </c>
      <c r="B91" s="561" t="s">
        <v>23</v>
      </c>
      <c r="C91" s="561">
        <v>16</v>
      </c>
      <c r="D91" s="561">
        <v>0.11289</v>
      </c>
      <c r="E91" s="561">
        <v>0.98913399999999996</v>
      </c>
    </row>
    <row r="92" spans="1:5" x14ac:dyDescent="0.25">
      <c r="A92" s="561">
        <v>16</v>
      </c>
      <c r="B92" s="561" t="s">
        <v>23</v>
      </c>
      <c r="C92" s="561">
        <v>17</v>
      </c>
      <c r="D92" s="561">
        <v>9.8382999999999998E-2</v>
      </c>
      <c r="E92" s="561">
        <v>0.98965599999999998</v>
      </c>
    </row>
    <row r="93" spans="1:5" x14ac:dyDescent="0.25">
      <c r="A93" s="561">
        <v>17</v>
      </c>
      <c r="B93" s="561" t="s">
        <v>23</v>
      </c>
      <c r="C93" s="561">
        <v>18</v>
      </c>
      <c r="D93" s="561">
        <v>7.1538000000000004E-2</v>
      </c>
      <c r="E93" s="561">
        <v>0.99212400000000001</v>
      </c>
    </row>
    <row r="94" spans="1:5" x14ac:dyDescent="0.25">
      <c r="A94" s="561">
        <v>0</v>
      </c>
      <c r="B94" s="561" t="s">
        <v>24</v>
      </c>
      <c r="C94" s="561">
        <v>1</v>
      </c>
      <c r="D94" s="561">
        <v>0.80527499999999996</v>
      </c>
      <c r="E94" s="561">
        <v>0.45437100000000002</v>
      </c>
    </row>
    <row r="95" spans="1:5" x14ac:dyDescent="0.25">
      <c r="A95" s="561">
        <v>1</v>
      </c>
      <c r="B95" s="561" t="s">
        <v>24</v>
      </c>
      <c r="C95" s="561">
        <v>2</v>
      </c>
      <c r="D95" s="561">
        <v>0.77617700000000001</v>
      </c>
      <c r="E95" s="561">
        <v>0.491174</v>
      </c>
    </row>
    <row r="96" spans="1:5" x14ac:dyDescent="0.25">
      <c r="A96" s="561">
        <v>2</v>
      </c>
      <c r="B96" s="561" t="s">
        <v>24</v>
      </c>
      <c r="C96" s="561">
        <v>3</v>
      </c>
      <c r="D96" s="561">
        <v>0.755139</v>
      </c>
      <c r="E96" s="561">
        <v>0.533439</v>
      </c>
    </row>
    <row r="97" spans="1:5" x14ac:dyDescent="0.25">
      <c r="A97" s="561">
        <v>3</v>
      </c>
      <c r="B97" s="561" t="s">
        <v>24</v>
      </c>
      <c r="C97" s="561">
        <v>4</v>
      </c>
      <c r="D97" s="561">
        <v>0.64540500000000001</v>
      </c>
      <c r="E97" s="561">
        <v>0.66259900000000005</v>
      </c>
    </row>
    <row r="98" spans="1:5" x14ac:dyDescent="0.25">
      <c r="A98" s="561">
        <v>4</v>
      </c>
      <c r="B98" s="561" t="s">
        <v>24</v>
      </c>
      <c r="C98" s="561">
        <v>5</v>
      </c>
      <c r="D98" s="561">
        <v>0.48072799999999999</v>
      </c>
      <c r="E98" s="561">
        <v>0.79059100000000004</v>
      </c>
    </row>
    <row r="99" spans="1:5" x14ac:dyDescent="0.25">
      <c r="A99" s="561">
        <v>5</v>
      </c>
      <c r="B99" s="561" t="s">
        <v>24</v>
      </c>
      <c r="C99" s="561">
        <v>6</v>
      </c>
      <c r="D99" s="561">
        <v>0.43826799999999999</v>
      </c>
      <c r="E99" s="561">
        <v>0.81493499999999996</v>
      </c>
    </row>
    <row r="100" spans="1:5" x14ac:dyDescent="0.25">
      <c r="A100" s="561">
        <v>6</v>
      </c>
      <c r="B100" s="561" t="s">
        <v>24</v>
      </c>
      <c r="C100" s="561">
        <v>7</v>
      </c>
      <c r="D100" s="561">
        <v>0.38458700000000001</v>
      </c>
      <c r="E100" s="561">
        <v>0.84956299999999996</v>
      </c>
    </row>
    <row r="101" spans="1:5" x14ac:dyDescent="0.25">
      <c r="A101" s="561">
        <v>7</v>
      </c>
      <c r="B101" s="561" t="s">
        <v>24</v>
      </c>
      <c r="C101" s="561">
        <v>8</v>
      </c>
      <c r="D101" s="561">
        <v>0.29222900000000002</v>
      </c>
      <c r="E101" s="561">
        <v>0.90202199999999999</v>
      </c>
    </row>
    <row r="102" spans="1:5" x14ac:dyDescent="0.25">
      <c r="A102" s="561">
        <v>8</v>
      </c>
      <c r="B102" s="561" t="s">
        <v>24</v>
      </c>
      <c r="C102" s="561">
        <v>9</v>
      </c>
      <c r="D102" s="561">
        <v>0.230654</v>
      </c>
      <c r="E102" s="561">
        <v>0.92230699999999999</v>
      </c>
    </row>
    <row r="103" spans="1:5" x14ac:dyDescent="0.25">
      <c r="A103" s="561">
        <v>9</v>
      </c>
      <c r="B103" s="561" t="s">
        <v>24</v>
      </c>
      <c r="C103" s="561">
        <v>10</v>
      </c>
      <c r="D103" s="561">
        <v>0.168961</v>
      </c>
      <c r="E103" s="561">
        <v>0.93752599999999997</v>
      </c>
    </row>
    <row r="104" spans="1:5" x14ac:dyDescent="0.25">
      <c r="A104" s="561">
        <v>10</v>
      </c>
      <c r="B104" s="561" t="s">
        <v>24</v>
      </c>
      <c r="C104" s="561">
        <v>11</v>
      </c>
      <c r="D104" s="561">
        <v>0.115025</v>
      </c>
      <c r="E104" s="561">
        <v>0.94655999999999996</v>
      </c>
    </row>
    <row r="105" spans="1:5" x14ac:dyDescent="0.25">
      <c r="A105" s="561">
        <v>11</v>
      </c>
      <c r="B105" s="561" t="s">
        <v>24</v>
      </c>
      <c r="C105" s="561">
        <v>12</v>
      </c>
      <c r="D105" s="561">
        <v>0.103673</v>
      </c>
      <c r="E105" s="561">
        <v>0.94830099999999995</v>
      </c>
    </row>
    <row r="106" spans="1:5" x14ac:dyDescent="0.25">
      <c r="A106" s="561">
        <v>12</v>
      </c>
      <c r="B106" s="561" t="s">
        <v>24</v>
      </c>
      <c r="C106" s="561">
        <v>13</v>
      </c>
      <c r="D106" s="561">
        <v>0.112188</v>
      </c>
      <c r="E106" s="561">
        <v>0.949743</v>
      </c>
    </row>
    <row r="107" spans="1:5" x14ac:dyDescent="0.25">
      <c r="A107" s="561">
        <v>13</v>
      </c>
      <c r="B107" s="561" t="s">
        <v>24</v>
      </c>
      <c r="C107" s="561">
        <v>14</v>
      </c>
      <c r="D107" s="561">
        <v>0.105083</v>
      </c>
      <c r="E107" s="561">
        <v>0.95196400000000003</v>
      </c>
    </row>
    <row r="108" spans="1:5" x14ac:dyDescent="0.25">
      <c r="A108" s="561">
        <v>14</v>
      </c>
      <c r="B108" s="561" t="s">
        <v>24</v>
      </c>
      <c r="C108" s="561">
        <v>15</v>
      </c>
      <c r="D108" s="561">
        <v>5.8011E-2</v>
      </c>
      <c r="E108" s="561">
        <v>0.95427700000000004</v>
      </c>
    </row>
    <row r="109" spans="1:5" x14ac:dyDescent="0.25">
      <c r="A109" s="561">
        <v>15</v>
      </c>
      <c r="B109" s="561" t="s">
        <v>24</v>
      </c>
      <c r="C109" s="561">
        <v>16</v>
      </c>
      <c r="D109" s="561">
        <v>6.1185000000000003E-2</v>
      </c>
      <c r="E109" s="561">
        <v>0.95484899999999995</v>
      </c>
    </row>
    <row r="110" spans="1:5" x14ac:dyDescent="0.25">
      <c r="A110" s="561">
        <v>16</v>
      </c>
      <c r="B110" s="561" t="s">
        <v>24</v>
      </c>
      <c r="C110" s="561">
        <v>17</v>
      </c>
      <c r="D110" s="561">
        <v>5.3362E-2</v>
      </c>
      <c r="E110" s="561">
        <v>0.95552899999999996</v>
      </c>
    </row>
    <row r="111" spans="1:5" x14ac:dyDescent="0.25">
      <c r="A111" s="561">
        <v>17</v>
      </c>
      <c r="B111" s="561" t="s">
        <v>24</v>
      </c>
      <c r="C111" s="561">
        <v>18</v>
      </c>
      <c r="D111" s="561">
        <v>5.3041999999999999E-2</v>
      </c>
      <c r="E111" s="561">
        <v>0.95601400000000003</v>
      </c>
    </row>
    <row r="112" spans="1:5" x14ac:dyDescent="0.25">
      <c r="A112" s="561">
        <v>18</v>
      </c>
      <c r="B112" s="561" t="s">
        <v>24</v>
      </c>
      <c r="C112" s="561">
        <v>19</v>
      </c>
      <c r="D112" s="561">
        <v>2.8084000000000001E-2</v>
      </c>
      <c r="E112" s="561">
        <v>0.95696199999999998</v>
      </c>
    </row>
    <row r="113" spans="1:5" x14ac:dyDescent="0.25">
      <c r="A113" s="561">
        <v>19</v>
      </c>
      <c r="B113" s="561" t="s">
        <v>24</v>
      </c>
      <c r="C113" s="561">
        <v>20</v>
      </c>
      <c r="D113" s="561" t="s">
        <v>1536</v>
      </c>
      <c r="E113" s="561">
        <v>0.95886899999999997</v>
      </c>
    </row>
    <row r="114" spans="1:5" x14ac:dyDescent="0.25">
      <c r="A114" s="561">
        <v>0</v>
      </c>
      <c r="B114" s="561" t="s">
        <v>25</v>
      </c>
      <c r="C114" s="561">
        <v>1</v>
      </c>
      <c r="D114" s="561">
        <v>0.83113000000000004</v>
      </c>
      <c r="E114" s="561">
        <v>0.57134799999999997</v>
      </c>
    </row>
    <row r="115" spans="1:5" x14ac:dyDescent="0.25">
      <c r="A115" s="561">
        <v>1</v>
      </c>
      <c r="B115" s="561" t="s">
        <v>25</v>
      </c>
      <c r="C115" s="561">
        <v>2</v>
      </c>
      <c r="D115" s="561">
        <v>0.62174300000000005</v>
      </c>
      <c r="E115" s="561">
        <v>0.79260900000000001</v>
      </c>
    </row>
    <row r="116" spans="1:5" x14ac:dyDescent="0.25">
      <c r="A116" s="561">
        <v>2</v>
      </c>
      <c r="B116" s="561" t="s">
        <v>25</v>
      </c>
      <c r="C116" s="561">
        <v>3</v>
      </c>
      <c r="D116" s="561">
        <v>0.48954399999999998</v>
      </c>
      <c r="E116" s="561">
        <v>0.87806600000000001</v>
      </c>
    </row>
    <row r="117" spans="1:5" x14ac:dyDescent="0.25">
      <c r="A117" s="561">
        <v>3</v>
      </c>
      <c r="B117" s="561" t="s">
        <v>25</v>
      </c>
      <c r="C117" s="561">
        <v>4</v>
      </c>
      <c r="D117" s="561">
        <v>0.42475299999999999</v>
      </c>
      <c r="E117" s="561">
        <v>0.90864299999999998</v>
      </c>
    </row>
    <row r="118" spans="1:5" x14ac:dyDescent="0.25">
      <c r="A118" s="561">
        <v>4</v>
      </c>
      <c r="B118" s="561" t="s">
        <v>25</v>
      </c>
      <c r="C118" s="561">
        <v>5</v>
      </c>
      <c r="D118" s="561">
        <v>0.38356499999999999</v>
      </c>
      <c r="E118" s="561">
        <v>0.93034499999999998</v>
      </c>
    </row>
    <row r="119" spans="1:5" x14ac:dyDescent="0.25">
      <c r="A119" s="561">
        <v>5</v>
      </c>
      <c r="B119" s="561" t="s">
        <v>25</v>
      </c>
      <c r="C119" s="561">
        <v>6</v>
      </c>
      <c r="D119" s="561">
        <v>0.29379899999999998</v>
      </c>
      <c r="E119" s="561">
        <v>0.95262500000000006</v>
      </c>
    </row>
    <row r="120" spans="1:5" x14ac:dyDescent="0.25">
      <c r="A120" s="561">
        <v>6</v>
      </c>
      <c r="B120" s="561" t="s">
        <v>25</v>
      </c>
      <c r="C120" s="561">
        <v>7</v>
      </c>
      <c r="D120" s="561">
        <v>0.24054800000000001</v>
      </c>
      <c r="E120" s="561">
        <v>0.96531100000000003</v>
      </c>
    </row>
    <row r="121" spans="1:5" x14ac:dyDescent="0.25">
      <c r="A121" s="561">
        <v>7</v>
      </c>
      <c r="B121" s="561" t="s">
        <v>25</v>
      </c>
      <c r="C121" s="561">
        <v>8</v>
      </c>
      <c r="D121" s="561">
        <v>0.19820399999999999</v>
      </c>
      <c r="E121" s="561">
        <v>0.97206000000000004</v>
      </c>
    </row>
    <row r="122" spans="1:5" x14ac:dyDescent="0.25">
      <c r="A122" s="561">
        <v>8</v>
      </c>
      <c r="B122" s="561" t="s">
        <v>25</v>
      </c>
      <c r="C122" s="561">
        <v>9</v>
      </c>
      <c r="D122" s="561">
        <v>0.18480099999999999</v>
      </c>
      <c r="E122" s="561">
        <v>0.97580100000000003</v>
      </c>
    </row>
    <row r="123" spans="1:5" x14ac:dyDescent="0.25">
      <c r="A123" s="561">
        <v>9</v>
      </c>
      <c r="B123" s="561" t="s">
        <v>25</v>
      </c>
      <c r="C123" s="561">
        <v>10</v>
      </c>
      <c r="D123" s="561">
        <v>0.17208599999999999</v>
      </c>
      <c r="E123" s="561">
        <v>0.97909299999999999</v>
      </c>
    </row>
    <row r="124" spans="1:5" x14ac:dyDescent="0.25">
      <c r="A124" s="561">
        <v>10</v>
      </c>
      <c r="B124" s="561" t="s">
        <v>25</v>
      </c>
      <c r="C124" s="561">
        <v>11</v>
      </c>
      <c r="D124" s="561">
        <v>0.17558599999999999</v>
      </c>
      <c r="E124" s="561">
        <v>0.97877999999999998</v>
      </c>
    </row>
    <row r="125" spans="1:5" x14ac:dyDescent="0.25">
      <c r="A125" s="561">
        <v>11</v>
      </c>
      <c r="B125" s="561" t="s">
        <v>25</v>
      </c>
      <c r="C125" s="561">
        <v>12</v>
      </c>
      <c r="D125" s="561">
        <v>0.14959700000000001</v>
      </c>
      <c r="E125" s="561">
        <v>0.98199400000000003</v>
      </c>
    </row>
    <row r="126" spans="1:5" x14ac:dyDescent="0.25">
      <c r="A126" s="561">
        <v>12</v>
      </c>
      <c r="B126" s="561" t="s">
        <v>25</v>
      </c>
      <c r="C126" s="561">
        <v>13</v>
      </c>
      <c r="D126" s="561">
        <v>0.12650600000000001</v>
      </c>
      <c r="E126" s="561">
        <v>0.98345700000000003</v>
      </c>
    </row>
    <row r="127" spans="1:5" x14ac:dyDescent="0.25">
      <c r="A127" s="561">
        <v>13</v>
      </c>
      <c r="B127" s="561" t="s">
        <v>25</v>
      </c>
      <c r="C127" s="561">
        <v>14</v>
      </c>
      <c r="D127" s="561">
        <v>0.124363</v>
      </c>
      <c r="E127" s="561">
        <v>0.98475699999999999</v>
      </c>
    </row>
    <row r="128" spans="1:5" x14ac:dyDescent="0.25">
      <c r="A128" s="561">
        <v>14</v>
      </c>
      <c r="B128" s="561" t="s">
        <v>25</v>
      </c>
      <c r="C128" s="561">
        <v>15</v>
      </c>
      <c r="D128" s="561">
        <v>0.10923099999999999</v>
      </c>
      <c r="E128" s="561">
        <v>0.98441500000000004</v>
      </c>
    </row>
    <row r="129" spans="1:5" x14ac:dyDescent="0.25">
      <c r="A129" s="561">
        <v>15</v>
      </c>
      <c r="B129" s="561" t="s">
        <v>25</v>
      </c>
      <c r="C129" s="561">
        <v>16</v>
      </c>
      <c r="D129" s="561">
        <v>9.4063999999999995E-2</v>
      </c>
      <c r="E129" s="561">
        <v>0.98542700000000005</v>
      </c>
    </row>
    <row r="130" spans="1:5" x14ac:dyDescent="0.25">
      <c r="A130" s="561">
        <v>16</v>
      </c>
      <c r="B130" s="561" t="s">
        <v>25</v>
      </c>
      <c r="C130" s="561">
        <v>17</v>
      </c>
      <c r="D130" s="561">
        <v>7.7953999999999996E-2</v>
      </c>
      <c r="E130" s="561">
        <v>0.98606899999999997</v>
      </c>
    </row>
    <row r="131" spans="1:5" x14ac:dyDescent="0.25">
      <c r="A131" s="561">
        <v>17</v>
      </c>
      <c r="B131" s="561" t="s">
        <v>25</v>
      </c>
      <c r="C131" s="561">
        <v>18</v>
      </c>
      <c r="D131" s="561">
        <v>5.8397999999999999E-2</v>
      </c>
      <c r="E131" s="561">
        <v>0.990116</v>
      </c>
    </row>
    <row r="132" spans="1:5" x14ac:dyDescent="0.25">
      <c r="A132" s="561">
        <v>0</v>
      </c>
      <c r="B132" s="561" t="s">
        <v>26</v>
      </c>
      <c r="C132" s="561">
        <v>1</v>
      </c>
      <c r="D132" s="561">
        <v>0.84255899999999995</v>
      </c>
      <c r="E132" s="561">
        <v>0.556033</v>
      </c>
    </row>
    <row r="133" spans="1:5" x14ac:dyDescent="0.25">
      <c r="A133" s="561">
        <v>1</v>
      </c>
      <c r="B133" s="561" t="s">
        <v>26</v>
      </c>
      <c r="C133" s="561">
        <v>2</v>
      </c>
      <c r="D133" s="561">
        <v>0.66660399999999997</v>
      </c>
      <c r="E133" s="561">
        <v>0.74145700000000003</v>
      </c>
    </row>
    <row r="134" spans="1:5" x14ac:dyDescent="0.25">
      <c r="A134" s="561">
        <v>2</v>
      </c>
      <c r="B134" s="561" t="s">
        <v>26</v>
      </c>
      <c r="C134" s="561">
        <v>3</v>
      </c>
      <c r="D134" s="561">
        <v>0.49427500000000002</v>
      </c>
      <c r="E134" s="561">
        <v>0.86063199999999995</v>
      </c>
    </row>
    <row r="135" spans="1:5" x14ac:dyDescent="0.25">
      <c r="A135" s="561">
        <v>3</v>
      </c>
      <c r="B135" s="561" t="s">
        <v>26</v>
      </c>
      <c r="C135" s="561">
        <v>4</v>
      </c>
      <c r="D135" s="561">
        <v>0.44409999999999999</v>
      </c>
      <c r="E135" s="561">
        <v>0.89298999999999995</v>
      </c>
    </row>
    <row r="136" spans="1:5" x14ac:dyDescent="0.25">
      <c r="A136" s="561">
        <v>4</v>
      </c>
      <c r="B136" s="561" t="s">
        <v>26</v>
      </c>
      <c r="C136" s="561">
        <v>5</v>
      </c>
      <c r="D136" s="561">
        <v>0.396038</v>
      </c>
      <c r="E136" s="561">
        <v>0.91027499999999995</v>
      </c>
    </row>
    <row r="137" spans="1:5" x14ac:dyDescent="0.25">
      <c r="A137" s="561">
        <v>5</v>
      </c>
      <c r="B137" s="561" t="s">
        <v>26</v>
      </c>
      <c r="C137" s="561">
        <v>6</v>
      </c>
      <c r="D137" s="561">
        <v>0.35492899999999999</v>
      </c>
      <c r="E137" s="561">
        <v>0.93007300000000004</v>
      </c>
    </row>
    <row r="138" spans="1:5" x14ac:dyDescent="0.25">
      <c r="A138" s="561">
        <v>6</v>
      </c>
      <c r="B138" s="561" t="s">
        <v>26</v>
      </c>
      <c r="C138" s="561">
        <v>7</v>
      </c>
      <c r="D138" s="561">
        <v>0.33037499999999997</v>
      </c>
      <c r="E138" s="561">
        <v>0.94176400000000005</v>
      </c>
    </row>
    <row r="139" spans="1:5" x14ac:dyDescent="0.25">
      <c r="A139" s="561">
        <v>7</v>
      </c>
      <c r="B139" s="561" t="s">
        <v>26</v>
      </c>
      <c r="C139" s="561">
        <v>8</v>
      </c>
      <c r="D139" s="561">
        <v>0.29488999999999999</v>
      </c>
      <c r="E139" s="561">
        <v>0.95130000000000003</v>
      </c>
    </row>
    <row r="140" spans="1:5" x14ac:dyDescent="0.25">
      <c r="A140" s="561">
        <v>8</v>
      </c>
      <c r="B140" s="561" t="s">
        <v>26</v>
      </c>
      <c r="C140" s="561">
        <v>9</v>
      </c>
      <c r="D140" s="561">
        <v>0.241066</v>
      </c>
      <c r="E140" s="561">
        <v>0.96024900000000002</v>
      </c>
    </row>
    <row r="141" spans="1:5" x14ac:dyDescent="0.25">
      <c r="A141" s="561">
        <v>9</v>
      </c>
      <c r="B141" s="561" t="s">
        <v>26</v>
      </c>
      <c r="C141" s="561">
        <v>10</v>
      </c>
      <c r="D141" s="561">
        <v>0.21199299999999999</v>
      </c>
      <c r="E141" s="561">
        <v>0.96926699999999999</v>
      </c>
    </row>
    <row r="142" spans="1:5" x14ac:dyDescent="0.25">
      <c r="A142" s="561">
        <v>10</v>
      </c>
      <c r="B142" s="561" t="s">
        <v>26</v>
      </c>
      <c r="C142" s="561">
        <v>11</v>
      </c>
      <c r="D142" s="561">
        <v>0.18063699999999999</v>
      </c>
      <c r="E142" s="561">
        <v>0.97643100000000005</v>
      </c>
    </row>
    <row r="143" spans="1:5" x14ac:dyDescent="0.25">
      <c r="A143" s="561">
        <v>11</v>
      </c>
      <c r="B143" s="561" t="s">
        <v>26</v>
      </c>
      <c r="C143" s="561">
        <v>12</v>
      </c>
      <c r="D143" s="561">
        <v>0.129189</v>
      </c>
      <c r="E143" s="561">
        <v>0.98226500000000005</v>
      </c>
    </row>
    <row r="144" spans="1:5" x14ac:dyDescent="0.25">
      <c r="A144" s="561">
        <v>12</v>
      </c>
      <c r="B144" s="561" t="s">
        <v>26</v>
      </c>
      <c r="C144" s="561">
        <v>13</v>
      </c>
      <c r="D144" s="561">
        <v>0.11639099999999999</v>
      </c>
      <c r="E144" s="561">
        <v>0.98501700000000003</v>
      </c>
    </row>
    <row r="145" spans="1:5" x14ac:dyDescent="0.25">
      <c r="A145" s="561">
        <v>13</v>
      </c>
      <c r="B145" s="561" t="s">
        <v>26</v>
      </c>
      <c r="C145" s="561">
        <v>14</v>
      </c>
      <c r="D145" s="561">
        <v>0.10717400000000001</v>
      </c>
      <c r="E145" s="561">
        <v>0.98622399999999999</v>
      </c>
    </row>
    <row r="146" spans="1:5" x14ac:dyDescent="0.25">
      <c r="A146" s="561">
        <v>14</v>
      </c>
      <c r="B146" s="561" t="s">
        <v>26</v>
      </c>
      <c r="C146" s="561">
        <v>15</v>
      </c>
      <c r="D146" s="561">
        <v>9.8419999999999994E-2</v>
      </c>
      <c r="E146" s="561">
        <v>0.987537</v>
      </c>
    </row>
    <row r="147" spans="1:5" x14ac:dyDescent="0.25">
      <c r="A147" s="561">
        <v>15</v>
      </c>
      <c r="B147" s="561" t="s">
        <v>26</v>
      </c>
      <c r="C147" s="561">
        <v>16</v>
      </c>
      <c r="D147" s="561">
        <v>8.072E-2</v>
      </c>
      <c r="E147" s="561">
        <v>0.98886700000000005</v>
      </c>
    </row>
    <row r="148" spans="1:5" x14ac:dyDescent="0.25">
      <c r="A148" s="561">
        <v>16</v>
      </c>
      <c r="B148" s="561" t="s">
        <v>26</v>
      </c>
      <c r="C148" s="561">
        <v>17</v>
      </c>
      <c r="D148" s="561">
        <v>5.7536999999999998E-2</v>
      </c>
      <c r="E148" s="561">
        <v>0.98996899999999999</v>
      </c>
    </row>
    <row r="149" spans="1:5" x14ac:dyDescent="0.25">
      <c r="A149" s="561">
        <v>17</v>
      </c>
      <c r="B149" s="561" t="s">
        <v>26</v>
      </c>
      <c r="C149" s="561">
        <v>18</v>
      </c>
      <c r="D149" s="561">
        <v>4.3083999999999997E-2</v>
      </c>
      <c r="E149" s="561">
        <v>0.99054200000000003</v>
      </c>
    </row>
    <row r="150" spans="1:5" x14ac:dyDescent="0.25">
      <c r="A150" s="561">
        <v>0</v>
      </c>
      <c r="B150" s="561" t="s">
        <v>27</v>
      </c>
      <c r="C150" s="561">
        <v>1</v>
      </c>
      <c r="D150" s="561">
        <v>0.91684200000000005</v>
      </c>
      <c r="E150" s="561">
        <v>0.38481700000000002</v>
      </c>
    </row>
    <row r="151" spans="1:5" x14ac:dyDescent="0.25">
      <c r="A151" s="561">
        <v>1</v>
      </c>
      <c r="B151" s="561" t="s">
        <v>27</v>
      </c>
      <c r="C151" s="561">
        <v>2</v>
      </c>
      <c r="D151" s="561">
        <v>0.84659499999999999</v>
      </c>
      <c r="E151" s="561">
        <v>0.47744799999999998</v>
      </c>
    </row>
    <row r="152" spans="1:5" x14ac:dyDescent="0.25">
      <c r="A152" s="561">
        <v>2</v>
      </c>
      <c r="B152" s="561" t="s">
        <v>27</v>
      </c>
      <c r="C152" s="561">
        <v>3</v>
      </c>
      <c r="D152" s="561">
        <v>0.79182399999999997</v>
      </c>
      <c r="E152" s="561">
        <v>0.57391099999999995</v>
      </c>
    </row>
    <row r="153" spans="1:5" x14ac:dyDescent="0.25">
      <c r="A153" s="561">
        <v>3</v>
      </c>
      <c r="B153" s="561" t="s">
        <v>27</v>
      </c>
      <c r="C153" s="561">
        <v>4</v>
      </c>
      <c r="D153" s="561">
        <v>0.33943200000000001</v>
      </c>
      <c r="E153" s="561">
        <v>0.88844100000000004</v>
      </c>
    </row>
    <row r="154" spans="1:5" x14ac:dyDescent="0.25">
      <c r="A154" s="561">
        <v>4</v>
      </c>
      <c r="B154" s="561" t="s">
        <v>27</v>
      </c>
      <c r="C154" s="561">
        <v>5</v>
      </c>
      <c r="D154" s="561">
        <v>0.24343799999999999</v>
      </c>
      <c r="E154" s="561">
        <v>0.94793899999999998</v>
      </c>
    </row>
    <row r="155" spans="1:5" x14ac:dyDescent="0.25">
      <c r="A155" s="561">
        <v>5</v>
      </c>
      <c r="B155" s="561" t="s">
        <v>27</v>
      </c>
      <c r="C155" s="561">
        <v>6</v>
      </c>
      <c r="D155" s="561">
        <v>0.23685800000000001</v>
      </c>
      <c r="E155" s="561">
        <v>0.95523899999999995</v>
      </c>
    </row>
    <row r="156" spans="1:5" x14ac:dyDescent="0.25">
      <c r="A156" s="561">
        <v>6</v>
      </c>
      <c r="B156" s="561" t="s">
        <v>27</v>
      </c>
      <c r="C156" s="561">
        <v>7</v>
      </c>
      <c r="D156" s="561">
        <v>0.23947099999999999</v>
      </c>
      <c r="E156" s="561">
        <v>0.96376700000000004</v>
      </c>
    </row>
    <row r="157" spans="1:5" x14ac:dyDescent="0.25">
      <c r="A157" s="561">
        <v>7</v>
      </c>
      <c r="B157" s="561" t="s">
        <v>27</v>
      </c>
      <c r="C157" s="561">
        <v>8</v>
      </c>
      <c r="D157" s="561">
        <v>0.19153100000000001</v>
      </c>
      <c r="E157" s="561">
        <v>0.96605300000000005</v>
      </c>
    </row>
    <row r="158" spans="1:5" x14ac:dyDescent="0.25">
      <c r="A158" s="561">
        <v>8</v>
      </c>
      <c r="B158" s="561" t="s">
        <v>27</v>
      </c>
      <c r="C158" s="561">
        <v>9</v>
      </c>
      <c r="D158" s="561">
        <v>7.7506000000000005E-2</v>
      </c>
      <c r="E158" s="561">
        <v>0.93141499999999999</v>
      </c>
    </row>
    <row r="159" spans="1:5" x14ac:dyDescent="0.25">
      <c r="A159" s="561">
        <v>9</v>
      </c>
      <c r="B159" s="561" t="s">
        <v>27</v>
      </c>
      <c r="C159" s="561">
        <v>10</v>
      </c>
      <c r="D159" s="561">
        <v>0.104795</v>
      </c>
      <c r="E159" s="561">
        <v>0.97829299999999997</v>
      </c>
    </row>
    <row r="160" spans="1:5" x14ac:dyDescent="0.25">
      <c r="A160" s="561">
        <v>10</v>
      </c>
      <c r="B160" s="561" t="s">
        <v>27</v>
      </c>
      <c r="C160" s="561">
        <v>11</v>
      </c>
      <c r="D160" s="561">
        <v>3.0166999999999999E-2</v>
      </c>
      <c r="E160" s="561">
        <v>0.98269200000000001</v>
      </c>
    </row>
    <row r="161" spans="1:5" x14ac:dyDescent="0.25">
      <c r="A161" s="561">
        <v>11</v>
      </c>
      <c r="B161" s="561" t="s">
        <v>27</v>
      </c>
      <c r="C161" s="561">
        <v>12</v>
      </c>
      <c r="D161" s="561">
        <v>6.3585000000000003E-2</v>
      </c>
      <c r="E161" s="561">
        <v>0.98776399999999998</v>
      </c>
    </row>
    <row r="162" spans="1:5" x14ac:dyDescent="0.25">
      <c r="A162" s="561">
        <v>12</v>
      </c>
      <c r="B162" s="561" t="s">
        <v>27</v>
      </c>
      <c r="C162" s="561">
        <v>13</v>
      </c>
      <c r="D162" s="561">
        <v>3.2399999999999998E-2</v>
      </c>
      <c r="E162" s="561">
        <v>0.99016199999999999</v>
      </c>
    </row>
    <row r="163" spans="1:5" x14ac:dyDescent="0.25">
      <c r="A163" s="561">
        <v>0</v>
      </c>
      <c r="B163" s="561" t="s">
        <v>28</v>
      </c>
      <c r="C163" s="561">
        <v>1</v>
      </c>
      <c r="D163" s="561">
        <v>0.90555200000000002</v>
      </c>
      <c r="E163" s="561">
        <v>0.35920000000000002</v>
      </c>
    </row>
    <row r="164" spans="1:5" x14ac:dyDescent="0.25">
      <c r="A164" s="561">
        <v>1</v>
      </c>
      <c r="B164" s="561" t="s">
        <v>28</v>
      </c>
      <c r="C164" s="561">
        <v>2</v>
      </c>
      <c r="D164" s="561">
        <v>0.80519099999999999</v>
      </c>
      <c r="E164" s="561">
        <v>0.51870400000000005</v>
      </c>
    </row>
    <row r="165" spans="1:5" x14ac:dyDescent="0.25">
      <c r="A165" s="561">
        <v>2</v>
      </c>
      <c r="B165" s="561" t="s">
        <v>28</v>
      </c>
      <c r="C165" s="561">
        <v>3</v>
      </c>
      <c r="D165" s="561">
        <v>0.747919</v>
      </c>
      <c r="E165" s="561">
        <v>0.64135900000000001</v>
      </c>
    </row>
    <row r="166" spans="1:5" x14ac:dyDescent="0.25">
      <c r="A166" s="561">
        <v>3</v>
      </c>
      <c r="B166" s="561" t="s">
        <v>28</v>
      </c>
      <c r="C166" s="561">
        <v>4</v>
      </c>
      <c r="D166" s="561">
        <v>0.31289899999999998</v>
      </c>
      <c r="E166" s="561">
        <v>0.92561300000000002</v>
      </c>
    </row>
    <row r="167" spans="1:5" x14ac:dyDescent="0.25">
      <c r="A167" s="561">
        <v>4</v>
      </c>
      <c r="B167" s="561" t="s">
        <v>28</v>
      </c>
      <c r="C167" s="561">
        <v>5</v>
      </c>
      <c r="D167" s="561">
        <v>0.195743</v>
      </c>
      <c r="E167" s="561">
        <v>0.95512799999999998</v>
      </c>
    </row>
    <row r="168" spans="1:5" x14ac:dyDescent="0.25">
      <c r="A168" s="561">
        <v>5</v>
      </c>
      <c r="B168" s="561" t="s">
        <v>28</v>
      </c>
      <c r="C168" s="561">
        <v>6</v>
      </c>
      <c r="D168" s="561">
        <v>0.15041099999999999</v>
      </c>
      <c r="E168" s="561">
        <v>0.96041100000000001</v>
      </c>
    </row>
    <row r="169" spans="1:5" x14ac:dyDescent="0.25">
      <c r="A169" s="561">
        <v>6</v>
      </c>
      <c r="B169" s="561" t="s">
        <v>28</v>
      </c>
      <c r="C169" s="561">
        <v>7</v>
      </c>
      <c r="D169" s="561">
        <v>0.16836000000000001</v>
      </c>
      <c r="E169" s="561">
        <v>0.96956699999999996</v>
      </c>
    </row>
    <row r="170" spans="1:5" x14ac:dyDescent="0.25">
      <c r="A170" s="561">
        <v>7</v>
      </c>
      <c r="B170" s="561" t="s">
        <v>28</v>
      </c>
      <c r="C170" s="561">
        <v>8</v>
      </c>
      <c r="D170" s="561">
        <v>0.123906</v>
      </c>
      <c r="E170" s="561">
        <v>0.97444500000000001</v>
      </c>
    </row>
    <row r="171" spans="1:5" x14ac:dyDescent="0.25">
      <c r="A171" s="561">
        <v>8</v>
      </c>
      <c r="B171" s="561" t="s">
        <v>28</v>
      </c>
      <c r="C171" s="561">
        <v>9</v>
      </c>
      <c r="D171" s="561">
        <v>0.117757</v>
      </c>
      <c r="E171" s="561">
        <v>0.97865800000000003</v>
      </c>
    </row>
    <row r="172" spans="1:5" x14ac:dyDescent="0.25">
      <c r="A172" s="561">
        <v>9</v>
      </c>
      <c r="B172" s="561" t="s">
        <v>28</v>
      </c>
      <c r="C172" s="561">
        <v>10</v>
      </c>
      <c r="D172" s="561">
        <v>0.104127</v>
      </c>
      <c r="E172" s="561">
        <v>0.98094499999999996</v>
      </c>
    </row>
    <row r="173" spans="1:5" x14ac:dyDescent="0.25">
      <c r="A173" s="561">
        <v>10</v>
      </c>
      <c r="B173" s="561" t="s">
        <v>28</v>
      </c>
      <c r="C173" s="561">
        <v>11</v>
      </c>
      <c r="D173" s="561">
        <v>8.1328999999999999E-2</v>
      </c>
      <c r="E173" s="561">
        <v>0.98760899999999996</v>
      </c>
    </row>
    <row r="174" spans="1:5" x14ac:dyDescent="0.25">
      <c r="A174" s="561">
        <v>11</v>
      </c>
      <c r="B174" s="561" t="s">
        <v>28</v>
      </c>
      <c r="C174" s="561">
        <v>12</v>
      </c>
      <c r="D174" s="561">
        <v>7.9949999999999993E-2</v>
      </c>
      <c r="E174" s="561">
        <v>0.98928400000000005</v>
      </c>
    </row>
    <row r="175" spans="1:5" x14ac:dyDescent="0.25">
      <c r="A175" s="561">
        <v>12</v>
      </c>
      <c r="B175" s="561" t="s">
        <v>28</v>
      </c>
      <c r="C175" s="561">
        <v>13</v>
      </c>
      <c r="D175" s="561">
        <v>5.9732E-2</v>
      </c>
      <c r="E175" s="561">
        <v>0.99325699999999995</v>
      </c>
    </row>
    <row r="176" spans="1:5" x14ac:dyDescent="0.25">
      <c r="A176" s="561">
        <v>0</v>
      </c>
      <c r="B176" s="561" t="s">
        <v>29</v>
      </c>
      <c r="C176" s="561">
        <v>1</v>
      </c>
      <c r="D176" s="561">
        <v>0.91580600000000001</v>
      </c>
      <c r="E176" s="561">
        <v>0.361288</v>
      </c>
    </row>
    <row r="177" spans="1:5" x14ac:dyDescent="0.25">
      <c r="A177" s="561">
        <v>1</v>
      </c>
      <c r="B177" s="561" t="s">
        <v>29</v>
      </c>
      <c r="C177" s="561">
        <v>2</v>
      </c>
      <c r="D177" s="561">
        <v>0.85004599999999997</v>
      </c>
      <c r="E177" s="561">
        <v>0.48466199999999998</v>
      </c>
    </row>
    <row r="178" spans="1:5" x14ac:dyDescent="0.25">
      <c r="A178" s="561">
        <v>2</v>
      </c>
      <c r="B178" s="561" t="s">
        <v>29</v>
      </c>
      <c r="C178" s="561">
        <v>3</v>
      </c>
      <c r="D178" s="561">
        <v>0.79697899999999999</v>
      </c>
      <c r="E178" s="561">
        <v>0.58044600000000002</v>
      </c>
    </row>
    <row r="179" spans="1:5" x14ac:dyDescent="0.25">
      <c r="A179" s="561">
        <v>3</v>
      </c>
      <c r="B179" s="561" t="s">
        <v>29</v>
      </c>
      <c r="C179" s="561">
        <v>4</v>
      </c>
      <c r="D179" s="561">
        <v>0.313753</v>
      </c>
      <c r="E179" s="561">
        <v>0.90587200000000001</v>
      </c>
    </row>
    <row r="180" spans="1:5" x14ac:dyDescent="0.25">
      <c r="A180" s="561">
        <v>4</v>
      </c>
      <c r="B180" s="561" t="s">
        <v>29</v>
      </c>
      <c r="C180" s="561">
        <v>5</v>
      </c>
      <c r="D180" s="561">
        <v>0.16438700000000001</v>
      </c>
      <c r="E180" s="561">
        <v>0.94873600000000002</v>
      </c>
    </row>
    <row r="181" spans="1:5" x14ac:dyDescent="0.25">
      <c r="A181" s="561">
        <v>5</v>
      </c>
      <c r="B181" s="561" t="s">
        <v>29</v>
      </c>
      <c r="C181" s="561">
        <v>6</v>
      </c>
      <c r="D181" s="561">
        <v>8.9354000000000003E-2</v>
      </c>
      <c r="E181" s="561">
        <v>0.95485600000000004</v>
      </c>
    </row>
    <row r="182" spans="1:5" x14ac:dyDescent="0.25">
      <c r="A182" s="561">
        <v>6</v>
      </c>
      <c r="B182" s="561" t="s">
        <v>29</v>
      </c>
      <c r="C182" s="561">
        <v>7</v>
      </c>
      <c r="D182" s="561">
        <v>0.16265199999999999</v>
      </c>
      <c r="E182" s="561">
        <v>0.96224299999999996</v>
      </c>
    </row>
    <row r="183" spans="1:5" x14ac:dyDescent="0.25">
      <c r="A183" s="561">
        <v>7</v>
      </c>
      <c r="B183" s="561" t="s">
        <v>29</v>
      </c>
      <c r="C183" s="561">
        <v>8</v>
      </c>
      <c r="D183" s="561">
        <v>0.1227</v>
      </c>
      <c r="E183" s="561">
        <v>0.96885699999999997</v>
      </c>
    </row>
    <row r="184" spans="1:5" x14ac:dyDescent="0.25">
      <c r="A184" s="561">
        <v>8</v>
      </c>
      <c r="B184" s="561" t="s">
        <v>29</v>
      </c>
      <c r="C184" s="561">
        <v>9</v>
      </c>
      <c r="D184" s="561">
        <v>0.121907</v>
      </c>
      <c r="E184" s="561">
        <v>0.96808499999999997</v>
      </c>
    </row>
    <row r="185" spans="1:5" x14ac:dyDescent="0.25">
      <c r="A185" s="561">
        <v>9</v>
      </c>
      <c r="B185" s="561" t="s">
        <v>29</v>
      </c>
      <c r="C185" s="561">
        <v>10</v>
      </c>
      <c r="D185" s="561">
        <v>0.11856</v>
      </c>
      <c r="E185" s="561">
        <v>0.978383</v>
      </c>
    </row>
    <row r="186" spans="1:5" x14ac:dyDescent="0.25">
      <c r="A186" s="561">
        <v>10</v>
      </c>
      <c r="B186" s="561" t="s">
        <v>29</v>
      </c>
      <c r="C186" s="561">
        <v>11</v>
      </c>
      <c r="D186" s="561">
        <v>6.2109999999999999E-2</v>
      </c>
      <c r="E186" s="561">
        <v>0.98234699999999997</v>
      </c>
    </row>
    <row r="187" spans="1:5" x14ac:dyDescent="0.25">
      <c r="A187" s="561">
        <v>11</v>
      </c>
      <c r="B187" s="561" t="s">
        <v>29</v>
      </c>
      <c r="C187" s="561">
        <v>12</v>
      </c>
      <c r="D187" s="561">
        <v>0.11484800000000001</v>
      </c>
      <c r="E187" s="561">
        <v>0.94588399999999995</v>
      </c>
    </row>
    <row r="188" spans="1:5" x14ac:dyDescent="0.25">
      <c r="A188" s="561">
        <v>12</v>
      </c>
      <c r="B188" s="561" t="s">
        <v>29</v>
      </c>
      <c r="C188" s="561">
        <v>13</v>
      </c>
      <c r="D188" s="561">
        <v>2.7365E-2</v>
      </c>
      <c r="E188" s="561">
        <v>0.98664399999999997</v>
      </c>
    </row>
    <row r="189" spans="1:5" x14ac:dyDescent="0.25">
      <c r="A189" s="561">
        <v>13</v>
      </c>
      <c r="B189" s="561" t="s">
        <v>29</v>
      </c>
      <c r="C189" s="561">
        <v>14</v>
      </c>
      <c r="D189" s="561">
        <v>6.1018000000000003E-2</v>
      </c>
      <c r="E189" s="561">
        <v>0.99089099999999997</v>
      </c>
    </row>
    <row r="190" spans="1:5" x14ac:dyDescent="0.25">
      <c r="A190" s="561">
        <v>0</v>
      </c>
      <c r="B190" s="561" t="s">
        <v>146</v>
      </c>
      <c r="C190" s="561">
        <v>1</v>
      </c>
      <c r="D190" s="561">
        <v>0.81173799999999996</v>
      </c>
      <c r="E190" s="561">
        <v>0.57805399999999996</v>
      </c>
    </row>
    <row r="191" spans="1:5" x14ac:dyDescent="0.25">
      <c r="A191" s="561">
        <v>1</v>
      </c>
      <c r="B191" s="561" t="s">
        <v>146</v>
      </c>
      <c r="C191" s="561">
        <v>2</v>
      </c>
      <c r="D191" s="561">
        <v>0.589337</v>
      </c>
      <c r="E191" s="561">
        <v>0.76821700000000004</v>
      </c>
    </row>
    <row r="192" spans="1:5" x14ac:dyDescent="0.25">
      <c r="A192" s="561">
        <v>2</v>
      </c>
      <c r="B192" s="561" t="s">
        <v>146</v>
      </c>
      <c r="C192" s="561">
        <v>3</v>
      </c>
      <c r="D192" s="561">
        <v>0.30531700000000001</v>
      </c>
      <c r="E192" s="561">
        <v>0.94109200000000004</v>
      </c>
    </row>
    <row r="193" spans="1:5" x14ac:dyDescent="0.25">
      <c r="A193" s="561">
        <v>3</v>
      </c>
      <c r="B193" s="561" t="s">
        <v>146</v>
      </c>
      <c r="C193" s="561">
        <v>4</v>
      </c>
      <c r="D193" s="561">
        <v>0.244061</v>
      </c>
      <c r="E193" s="561">
        <v>0.95803000000000005</v>
      </c>
    </row>
    <row r="194" spans="1:5" x14ac:dyDescent="0.25">
      <c r="A194" s="561">
        <v>4</v>
      </c>
      <c r="B194" s="561" t="s">
        <v>146</v>
      </c>
      <c r="C194" s="561">
        <v>5</v>
      </c>
      <c r="D194" s="561">
        <v>0.20263300000000001</v>
      </c>
      <c r="E194" s="561">
        <v>0.97422299999999995</v>
      </c>
    </row>
    <row r="195" spans="1:5" x14ac:dyDescent="0.25">
      <c r="A195" s="561">
        <v>5</v>
      </c>
      <c r="B195" s="561" t="s">
        <v>146</v>
      </c>
      <c r="C195" s="561">
        <v>6</v>
      </c>
      <c r="D195" s="561">
        <v>0.17043900000000001</v>
      </c>
      <c r="E195" s="561">
        <v>0.98263999999999996</v>
      </c>
    </row>
    <row r="196" spans="1:5" x14ac:dyDescent="0.25">
      <c r="A196" s="561">
        <v>6</v>
      </c>
      <c r="B196" s="561" t="s">
        <v>146</v>
      </c>
      <c r="C196" s="561">
        <v>7</v>
      </c>
      <c r="D196" s="561">
        <v>0.14300399999999999</v>
      </c>
      <c r="E196" s="561">
        <v>0.98980199999999996</v>
      </c>
    </row>
    <row r="197" spans="1:5" x14ac:dyDescent="0.25">
      <c r="A197" s="561">
        <v>7</v>
      </c>
      <c r="B197" s="561" t="s">
        <v>146</v>
      </c>
      <c r="C197" s="561">
        <v>8</v>
      </c>
      <c r="D197" s="561">
        <v>0.105129</v>
      </c>
      <c r="E197" s="561">
        <v>0.99287400000000003</v>
      </c>
    </row>
    <row r="198" spans="1:5" x14ac:dyDescent="0.25">
      <c r="A198" s="561">
        <v>0</v>
      </c>
      <c r="B198" s="561" t="s">
        <v>32</v>
      </c>
      <c r="C198" s="561">
        <v>1</v>
      </c>
      <c r="D198" s="561">
        <v>0.84782999999999997</v>
      </c>
      <c r="E198" s="561">
        <v>0.476406</v>
      </c>
    </row>
    <row r="199" spans="1:5" x14ac:dyDescent="0.25">
      <c r="A199" s="561">
        <v>1</v>
      </c>
      <c r="B199" s="561" t="s">
        <v>32</v>
      </c>
      <c r="C199" s="561">
        <v>2</v>
      </c>
      <c r="D199" s="561">
        <v>0.68909100000000001</v>
      </c>
      <c r="E199" s="561">
        <v>0.67271099999999995</v>
      </c>
    </row>
    <row r="200" spans="1:5" x14ac:dyDescent="0.25">
      <c r="A200" s="561">
        <v>2</v>
      </c>
      <c r="B200" s="561" t="s">
        <v>32</v>
      </c>
      <c r="C200" s="561">
        <v>3</v>
      </c>
      <c r="D200" s="561">
        <v>0.52185000000000004</v>
      </c>
      <c r="E200" s="561">
        <v>0.79704299999999995</v>
      </c>
    </row>
    <row r="201" spans="1:5" x14ac:dyDescent="0.25">
      <c r="A201" s="561">
        <v>3</v>
      </c>
      <c r="B201" s="561" t="s">
        <v>32</v>
      </c>
      <c r="C201" s="561">
        <v>4</v>
      </c>
      <c r="D201" s="561">
        <v>0.26892700000000003</v>
      </c>
      <c r="E201" s="561">
        <v>0.94085099999999999</v>
      </c>
    </row>
    <row r="202" spans="1:5" x14ac:dyDescent="0.25">
      <c r="A202" s="561">
        <v>4</v>
      </c>
      <c r="B202" s="561" t="s">
        <v>32</v>
      </c>
      <c r="C202" s="561">
        <v>5</v>
      </c>
      <c r="D202" s="561">
        <v>0.222968</v>
      </c>
      <c r="E202" s="561">
        <v>0.95795600000000003</v>
      </c>
    </row>
    <row r="203" spans="1:5" x14ac:dyDescent="0.25">
      <c r="A203" s="561">
        <v>5</v>
      </c>
      <c r="B203" s="561" t="s">
        <v>32</v>
      </c>
      <c r="C203" s="561">
        <v>6</v>
      </c>
      <c r="D203" s="561">
        <v>0.198463</v>
      </c>
      <c r="E203" s="561">
        <v>0.96876499999999999</v>
      </c>
    </row>
    <row r="204" spans="1:5" x14ac:dyDescent="0.25">
      <c r="A204" s="561">
        <v>6</v>
      </c>
      <c r="B204" s="561" t="s">
        <v>32</v>
      </c>
      <c r="C204" s="561">
        <v>7</v>
      </c>
      <c r="D204" s="561">
        <v>9.6340999999999996E-2</v>
      </c>
      <c r="E204" s="561">
        <v>0.98065500000000005</v>
      </c>
    </row>
    <row r="205" spans="1:5" x14ac:dyDescent="0.25">
      <c r="A205" s="561">
        <v>7</v>
      </c>
      <c r="B205" s="561" t="s">
        <v>32</v>
      </c>
      <c r="C205" s="561">
        <v>8</v>
      </c>
      <c r="D205" s="561">
        <v>0.112539</v>
      </c>
      <c r="E205" s="561">
        <v>0.98878699999999997</v>
      </c>
    </row>
    <row r="206" spans="1:5" x14ac:dyDescent="0.25">
      <c r="A206" s="561">
        <v>8</v>
      </c>
      <c r="B206" s="561" t="s">
        <v>32</v>
      </c>
      <c r="C206" s="561">
        <v>9</v>
      </c>
      <c r="D206" s="561">
        <v>9.6266000000000004E-2</v>
      </c>
      <c r="E206" s="561">
        <v>0.99065800000000004</v>
      </c>
    </row>
    <row r="207" spans="1:5" x14ac:dyDescent="0.25">
      <c r="A207" s="561">
        <v>0</v>
      </c>
      <c r="B207" s="561" t="s">
        <v>30</v>
      </c>
      <c r="C207" s="561">
        <v>1</v>
      </c>
      <c r="D207" s="561">
        <v>0.55712899999999999</v>
      </c>
      <c r="E207" s="561">
        <v>0.78257200000000005</v>
      </c>
    </row>
    <row r="208" spans="1:5" x14ac:dyDescent="0.25">
      <c r="A208" s="561">
        <v>1</v>
      </c>
      <c r="B208" s="561" t="s">
        <v>30</v>
      </c>
      <c r="C208" s="561">
        <v>2</v>
      </c>
      <c r="D208" s="561">
        <v>0.46559400000000001</v>
      </c>
      <c r="E208" s="561">
        <v>0.84961900000000001</v>
      </c>
    </row>
    <row r="209" spans="1:5" x14ac:dyDescent="0.25">
      <c r="A209" s="561">
        <v>2</v>
      </c>
      <c r="B209" s="561" t="s">
        <v>30</v>
      </c>
      <c r="C209" s="561">
        <v>3</v>
      </c>
      <c r="D209" s="561">
        <v>0.34924100000000002</v>
      </c>
      <c r="E209" s="561">
        <v>0.91052699999999998</v>
      </c>
    </row>
    <row r="210" spans="1:5" x14ac:dyDescent="0.25">
      <c r="A210" s="561">
        <v>3</v>
      </c>
      <c r="B210" s="561" t="s">
        <v>30</v>
      </c>
      <c r="C210" s="561">
        <v>4</v>
      </c>
      <c r="D210" s="561">
        <v>0.207455</v>
      </c>
      <c r="E210" s="561">
        <v>0.965449</v>
      </c>
    </row>
    <row r="211" spans="1:5" x14ac:dyDescent="0.25">
      <c r="A211" s="561">
        <v>4</v>
      </c>
      <c r="B211" s="561" t="s">
        <v>30</v>
      </c>
      <c r="C211" s="561">
        <v>5</v>
      </c>
      <c r="D211" s="561">
        <v>0.12937199999999999</v>
      </c>
      <c r="E211" s="561">
        <v>0.97170999999999996</v>
      </c>
    </row>
    <row r="212" spans="1:5" x14ac:dyDescent="0.25">
      <c r="A212" s="561">
        <v>5</v>
      </c>
      <c r="B212" s="561" t="s">
        <v>30</v>
      </c>
      <c r="C212" s="561">
        <v>6</v>
      </c>
      <c r="D212" s="561">
        <v>0.14866099999999999</v>
      </c>
      <c r="E212" s="561">
        <v>0.97594599999999998</v>
      </c>
    </row>
    <row r="213" spans="1:5" x14ac:dyDescent="0.25">
      <c r="A213" s="561">
        <v>6</v>
      </c>
      <c r="B213" s="561" t="s">
        <v>30</v>
      </c>
      <c r="C213" s="561">
        <v>7</v>
      </c>
      <c r="D213" s="561">
        <v>8.4628999999999996E-2</v>
      </c>
      <c r="E213" s="561">
        <v>0.978433</v>
      </c>
    </row>
    <row r="214" spans="1:5" x14ac:dyDescent="0.25">
      <c r="A214" s="561">
        <v>7</v>
      </c>
      <c r="B214" s="561" t="s">
        <v>30</v>
      </c>
      <c r="C214" s="561">
        <v>8</v>
      </c>
      <c r="D214" s="561">
        <v>6.9013000000000005E-2</v>
      </c>
      <c r="E214" s="561">
        <v>0.98241900000000004</v>
      </c>
    </row>
    <row r="215" spans="1:5" x14ac:dyDescent="0.25">
      <c r="A215" s="561">
        <v>8</v>
      </c>
      <c r="B215" s="561" t="s">
        <v>30</v>
      </c>
      <c r="C215" s="561">
        <v>9</v>
      </c>
      <c r="D215" s="561">
        <v>7.7800999999999995E-2</v>
      </c>
      <c r="E215" s="561">
        <v>0.97369499999999998</v>
      </c>
    </row>
    <row r="216" spans="1:5" x14ac:dyDescent="0.25">
      <c r="A216" s="561">
        <v>9</v>
      </c>
      <c r="B216" s="561" t="s">
        <v>30</v>
      </c>
      <c r="C216" s="561">
        <v>10</v>
      </c>
      <c r="D216" s="561">
        <v>0.106111</v>
      </c>
      <c r="E216" s="561">
        <v>0.98606000000000005</v>
      </c>
    </row>
    <row r="217" spans="1:5" x14ac:dyDescent="0.25">
      <c r="A217" s="561">
        <v>10</v>
      </c>
      <c r="B217" s="561" t="s">
        <v>30</v>
      </c>
      <c r="C217" s="561">
        <v>11</v>
      </c>
      <c r="D217" s="561">
        <v>0.118353</v>
      </c>
      <c r="E217" s="561">
        <v>0.98600500000000002</v>
      </c>
    </row>
    <row r="218" spans="1:5" x14ac:dyDescent="0.25">
      <c r="A218" s="561">
        <v>11</v>
      </c>
      <c r="B218" s="561" t="s">
        <v>30</v>
      </c>
      <c r="C218" s="561">
        <v>12</v>
      </c>
      <c r="D218" s="561">
        <v>9.8729999999999998E-2</v>
      </c>
      <c r="E218" s="561">
        <v>0.98293299999999995</v>
      </c>
    </row>
    <row r="219" spans="1:5" x14ac:dyDescent="0.25">
      <c r="A219" s="561">
        <v>12</v>
      </c>
      <c r="B219" s="561" t="s">
        <v>30</v>
      </c>
      <c r="C219" s="561">
        <v>13</v>
      </c>
      <c r="D219" s="561">
        <v>8.2155000000000006E-2</v>
      </c>
      <c r="E219" s="561">
        <v>0.98822399999999999</v>
      </c>
    </row>
    <row r="220" spans="1:5" x14ac:dyDescent="0.25">
      <c r="A220" s="561">
        <v>13</v>
      </c>
      <c r="B220" s="561" t="s">
        <v>30</v>
      </c>
      <c r="C220" s="561">
        <v>14</v>
      </c>
      <c r="D220" s="561">
        <v>8.1673999999999997E-2</v>
      </c>
      <c r="E220" s="561">
        <v>0.97951100000000002</v>
      </c>
    </row>
    <row r="221" spans="1:5" x14ac:dyDescent="0.25">
      <c r="A221" s="561">
        <v>14</v>
      </c>
      <c r="B221" s="561" t="s">
        <v>30</v>
      </c>
      <c r="C221" s="561">
        <v>15</v>
      </c>
      <c r="D221" s="561">
        <v>5.3516000000000001E-2</v>
      </c>
      <c r="E221" s="561">
        <v>0.98970899999999995</v>
      </c>
    </row>
    <row r="222" spans="1:5" x14ac:dyDescent="0.25">
      <c r="A222" s="561">
        <v>15</v>
      </c>
      <c r="B222" s="561" t="s">
        <v>30</v>
      </c>
      <c r="C222" s="561">
        <v>16</v>
      </c>
      <c r="D222" s="561">
        <v>2.4303999999999999E-2</v>
      </c>
      <c r="E222" s="561">
        <v>0.99030099999999999</v>
      </c>
    </row>
    <row r="223" spans="1:5" x14ac:dyDescent="0.25">
      <c r="A223" s="561">
        <v>0</v>
      </c>
      <c r="B223" s="561" t="s">
        <v>31</v>
      </c>
      <c r="C223" s="561">
        <v>1</v>
      </c>
      <c r="D223" s="561">
        <v>0.70018400000000003</v>
      </c>
      <c r="E223" s="561">
        <v>0.67472500000000002</v>
      </c>
    </row>
    <row r="224" spans="1:5" x14ac:dyDescent="0.25">
      <c r="A224" s="561">
        <v>1</v>
      </c>
      <c r="B224" s="561" t="s">
        <v>31</v>
      </c>
      <c r="C224" s="561">
        <v>2</v>
      </c>
      <c r="D224" s="561">
        <v>0.55435500000000004</v>
      </c>
      <c r="E224" s="561">
        <v>0.78925900000000004</v>
      </c>
    </row>
    <row r="225" spans="1:5" x14ac:dyDescent="0.25">
      <c r="A225" s="561">
        <v>2</v>
      </c>
      <c r="B225" s="561" t="s">
        <v>31</v>
      </c>
      <c r="C225" s="561">
        <v>3</v>
      </c>
      <c r="D225" s="561">
        <v>0.40188099999999999</v>
      </c>
      <c r="E225" s="561">
        <v>0.88891399999999998</v>
      </c>
    </row>
    <row r="226" spans="1:5" x14ac:dyDescent="0.25">
      <c r="A226" s="561">
        <v>3</v>
      </c>
      <c r="B226" s="561" t="s">
        <v>31</v>
      </c>
      <c r="C226" s="561">
        <v>4</v>
      </c>
      <c r="D226" s="561">
        <v>0.35168300000000002</v>
      </c>
      <c r="E226" s="561">
        <v>0.91523900000000002</v>
      </c>
    </row>
    <row r="227" spans="1:5" x14ac:dyDescent="0.25">
      <c r="A227" s="561">
        <v>4</v>
      </c>
      <c r="B227" s="561" t="s">
        <v>31</v>
      </c>
      <c r="C227" s="561">
        <v>5</v>
      </c>
      <c r="D227" s="561">
        <v>0.308307</v>
      </c>
      <c r="E227" s="561">
        <v>0.93034099999999997</v>
      </c>
    </row>
    <row r="228" spans="1:5" x14ac:dyDescent="0.25">
      <c r="A228" s="561">
        <v>5</v>
      </c>
      <c r="B228" s="561" t="s">
        <v>31</v>
      </c>
      <c r="C228" s="561">
        <v>6</v>
      </c>
      <c r="D228" s="561">
        <v>0.270818</v>
      </c>
      <c r="E228" s="561">
        <v>0.93713900000000006</v>
      </c>
    </row>
    <row r="229" spans="1:5" x14ac:dyDescent="0.25">
      <c r="A229" s="561">
        <v>6</v>
      </c>
      <c r="B229" s="561" t="s">
        <v>31</v>
      </c>
      <c r="C229" s="561">
        <v>7</v>
      </c>
      <c r="D229" s="561">
        <v>0.26056099999999999</v>
      </c>
      <c r="E229" s="561">
        <v>0.94662800000000002</v>
      </c>
    </row>
    <row r="230" spans="1:5" x14ac:dyDescent="0.25">
      <c r="A230" s="561">
        <v>7</v>
      </c>
      <c r="B230" s="561" t="s">
        <v>31</v>
      </c>
      <c r="C230" s="561">
        <v>8</v>
      </c>
      <c r="D230" s="561">
        <v>0.22397</v>
      </c>
      <c r="E230" s="561">
        <v>0.95320099999999996</v>
      </c>
    </row>
    <row r="231" spans="1:5" x14ac:dyDescent="0.25">
      <c r="A231" s="561">
        <v>8</v>
      </c>
      <c r="B231" s="561" t="s">
        <v>31</v>
      </c>
      <c r="C231" s="561">
        <v>9</v>
      </c>
      <c r="D231" s="561">
        <v>0.10573100000000001</v>
      </c>
      <c r="E231" s="561">
        <v>0.97575199999999995</v>
      </c>
    </row>
    <row r="232" spans="1:5" x14ac:dyDescent="0.25">
      <c r="A232" s="561">
        <v>9</v>
      </c>
      <c r="B232" s="561" t="s">
        <v>31</v>
      </c>
      <c r="C232" s="561">
        <v>10</v>
      </c>
      <c r="D232" s="561">
        <v>9.5174999999999996E-2</v>
      </c>
      <c r="E232" s="561">
        <v>0.97940400000000005</v>
      </c>
    </row>
    <row r="233" spans="1:5" x14ac:dyDescent="0.25">
      <c r="A233" s="561">
        <v>10</v>
      </c>
      <c r="B233" s="561" t="s">
        <v>31</v>
      </c>
      <c r="C233" s="561">
        <v>11</v>
      </c>
      <c r="D233" s="561">
        <v>9.5174999999999996E-2</v>
      </c>
      <c r="E233" s="561">
        <v>0.98540000000000005</v>
      </c>
    </row>
    <row r="234" spans="1:5" x14ac:dyDescent="0.25">
      <c r="A234" s="561">
        <v>11</v>
      </c>
      <c r="B234" s="561" t="s">
        <v>31</v>
      </c>
      <c r="C234" s="561">
        <v>12</v>
      </c>
      <c r="D234" s="561">
        <v>4.5591E-2</v>
      </c>
      <c r="E234" s="561">
        <v>0.984981</v>
      </c>
    </row>
    <row r="235" spans="1:5" x14ac:dyDescent="0.25">
      <c r="A235" s="561">
        <v>12</v>
      </c>
      <c r="B235" s="561" t="s">
        <v>31</v>
      </c>
      <c r="C235" s="561">
        <v>13</v>
      </c>
      <c r="D235" s="561">
        <v>3.9898999999999997E-2</v>
      </c>
      <c r="E235" s="561">
        <v>0.98653400000000002</v>
      </c>
    </row>
    <row r="236" spans="1:5" x14ac:dyDescent="0.25">
      <c r="A236" s="561">
        <v>13</v>
      </c>
      <c r="B236" s="561" t="s">
        <v>31</v>
      </c>
      <c r="C236" s="561">
        <v>14</v>
      </c>
      <c r="D236" s="561">
        <v>4.0418000000000003E-2</v>
      </c>
      <c r="E236" s="561">
        <v>0.98693200000000003</v>
      </c>
    </row>
    <row r="237" spans="1:5" x14ac:dyDescent="0.25">
      <c r="A237" s="561">
        <v>14</v>
      </c>
      <c r="B237" s="561" t="s">
        <v>31</v>
      </c>
      <c r="C237" s="561">
        <v>15</v>
      </c>
      <c r="D237" s="561">
        <v>5.7149999999999999E-2</v>
      </c>
      <c r="E237" s="561">
        <v>0.98703300000000005</v>
      </c>
    </row>
    <row r="238" spans="1:5" x14ac:dyDescent="0.25">
      <c r="A238" s="561">
        <v>15</v>
      </c>
      <c r="B238" s="561" t="s">
        <v>31</v>
      </c>
      <c r="C238" s="561">
        <v>16</v>
      </c>
      <c r="D238" s="561">
        <v>4.8029000000000002E-2</v>
      </c>
      <c r="E238" s="561">
        <v>0.98738300000000001</v>
      </c>
    </row>
    <row r="239" spans="1:5" x14ac:dyDescent="0.25">
      <c r="A239" s="561">
        <v>16</v>
      </c>
      <c r="B239" s="561" t="s">
        <v>31</v>
      </c>
      <c r="C239" s="561">
        <v>17</v>
      </c>
      <c r="D239" s="561">
        <v>3.3259999999999998E-2</v>
      </c>
      <c r="E239" s="561">
        <v>0.98821400000000004</v>
      </c>
    </row>
    <row r="240" spans="1:5" x14ac:dyDescent="0.25">
      <c r="A240" s="561">
        <v>17</v>
      </c>
      <c r="B240" s="561" t="s">
        <v>31</v>
      </c>
      <c r="C240" s="561">
        <v>18</v>
      </c>
      <c r="D240" s="561">
        <v>1.653E-2</v>
      </c>
      <c r="E240" s="561">
        <v>0.98807299999999998</v>
      </c>
    </row>
    <row r="241" spans="1:5" x14ac:dyDescent="0.25">
      <c r="A241" s="561">
        <v>18</v>
      </c>
      <c r="B241" s="561" t="s">
        <v>31</v>
      </c>
      <c r="C241" s="561">
        <v>19</v>
      </c>
      <c r="D241" s="561">
        <v>1.0159E-2</v>
      </c>
      <c r="E241" s="561">
        <v>0.98853899999999995</v>
      </c>
    </row>
    <row r="242" spans="1:5" x14ac:dyDescent="0.25">
      <c r="A242" s="561">
        <v>19</v>
      </c>
      <c r="B242" s="561" t="s">
        <v>31</v>
      </c>
      <c r="C242" s="561">
        <v>20</v>
      </c>
      <c r="D242" s="561" t="s">
        <v>1536</v>
      </c>
      <c r="E242" s="561">
        <v>0.988784</v>
      </c>
    </row>
    <row r="243" spans="1:5" x14ac:dyDescent="0.25">
      <c r="A243" s="561">
        <v>0</v>
      </c>
      <c r="B243" s="561" t="s">
        <v>151</v>
      </c>
      <c r="C243" s="561">
        <v>1</v>
      </c>
      <c r="D243" s="561">
        <v>0.52285599999999999</v>
      </c>
      <c r="E243" s="561">
        <v>0.82936399999999999</v>
      </c>
    </row>
    <row r="244" spans="1:5" x14ac:dyDescent="0.25">
      <c r="A244" s="561">
        <v>1</v>
      </c>
      <c r="B244" s="561" t="s">
        <v>151</v>
      </c>
      <c r="C244" s="561">
        <v>2</v>
      </c>
      <c r="D244" s="561">
        <v>0.43744899999999998</v>
      </c>
      <c r="E244" s="561">
        <v>0.87541199999999997</v>
      </c>
    </row>
    <row r="245" spans="1:5" x14ac:dyDescent="0.25">
      <c r="A245" s="561">
        <v>2</v>
      </c>
      <c r="B245" s="561" t="s">
        <v>151</v>
      </c>
      <c r="C245" s="561">
        <v>3</v>
      </c>
      <c r="D245" s="561">
        <v>0.35246100000000002</v>
      </c>
      <c r="E245" s="561">
        <v>0.91698400000000002</v>
      </c>
    </row>
    <row r="246" spans="1:5" x14ac:dyDescent="0.25">
      <c r="A246" s="561">
        <v>3</v>
      </c>
      <c r="B246" s="561" t="s">
        <v>151</v>
      </c>
      <c r="C246" s="561">
        <v>4</v>
      </c>
      <c r="D246" s="561">
        <v>0.262239</v>
      </c>
      <c r="E246" s="561">
        <v>0.95105799999999996</v>
      </c>
    </row>
    <row r="247" spans="1:5" x14ac:dyDescent="0.25">
      <c r="A247" s="561">
        <v>4</v>
      </c>
      <c r="B247" s="561" t="s">
        <v>151</v>
      </c>
      <c r="C247" s="561">
        <v>5</v>
      </c>
      <c r="D247" s="561">
        <v>0.24330199999999999</v>
      </c>
      <c r="E247" s="561">
        <v>0.956372</v>
      </c>
    </row>
    <row r="248" spans="1:5" x14ac:dyDescent="0.25">
      <c r="A248" s="561">
        <v>5</v>
      </c>
      <c r="B248" s="561" t="s">
        <v>151</v>
      </c>
      <c r="C248" s="561">
        <v>6</v>
      </c>
      <c r="D248" s="561">
        <v>0.24330199999999999</v>
      </c>
      <c r="E248" s="561">
        <v>0.96556699999999995</v>
      </c>
    </row>
    <row r="249" spans="1:5" x14ac:dyDescent="0.25">
      <c r="A249" s="561">
        <v>6</v>
      </c>
      <c r="B249" s="561" t="s">
        <v>151</v>
      </c>
      <c r="C249" s="561">
        <v>7</v>
      </c>
      <c r="D249" s="561">
        <v>0.121971</v>
      </c>
      <c r="E249" s="561">
        <v>0.98970899999999995</v>
      </c>
    </row>
    <row r="250" spans="1:5" x14ac:dyDescent="0.25">
      <c r="A250" s="561">
        <v>7</v>
      </c>
      <c r="B250" s="561" t="s">
        <v>151</v>
      </c>
      <c r="C250" s="561">
        <v>8</v>
      </c>
      <c r="D250" s="561">
        <v>8.8777999999999996E-2</v>
      </c>
      <c r="E250" s="561">
        <v>0.99219500000000005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110" zoomScaleNormal="110" workbookViewId="0">
      <pane xSplit="3" ySplit="1" topLeftCell="D8" activePane="bottomRight" state="frozen"/>
      <selection pane="topRight" activeCell="C1" sqref="C1"/>
      <selection pane="bottomLeft" activeCell="A2" sqref="A2"/>
      <selection pane="bottomRight" activeCell="B42" sqref="B18:B43"/>
    </sheetView>
  </sheetViews>
  <sheetFormatPr defaultColWidth="9" defaultRowHeight="11.25" x14ac:dyDescent="0.2"/>
  <cols>
    <col min="1" max="1" width="4.5703125" style="109" customWidth="1"/>
    <col min="2" max="2" width="14" style="109" customWidth="1"/>
    <col min="3" max="3" width="62.5703125" style="109" customWidth="1"/>
    <col min="4" max="4" width="15" style="106" customWidth="1"/>
    <col min="5" max="5" width="13.7109375" style="106" customWidth="1"/>
    <col min="6" max="6" width="14" style="106" customWidth="1"/>
    <col min="7" max="7" width="15.140625" style="106" customWidth="1"/>
    <col min="8" max="8" width="15.28515625" style="106" customWidth="1"/>
    <col min="9" max="9" width="13.140625" style="106" customWidth="1"/>
    <col min="10" max="16384" width="9" style="109"/>
  </cols>
  <sheetData>
    <row r="1" spans="1:9" s="108" customFormat="1" x14ac:dyDescent="0.2">
      <c r="A1" s="103"/>
      <c r="B1" s="103"/>
      <c r="C1" s="104" t="s">
        <v>190</v>
      </c>
      <c r="D1" s="106" t="s">
        <v>136</v>
      </c>
      <c r="E1" s="106" t="s">
        <v>137</v>
      </c>
      <c r="F1" s="106" t="s">
        <v>138</v>
      </c>
      <c r="G1" s="107" t="s">
        <v>139</v>
      </c>
      <c r="H1" s="107"/>
      <c r="I1" s="106" t="s">
        <v>140</v>
      </c>
    </row>
    <row r="2" spans="1:9" x14ac:dyDescent="0.2">
      <c r="A2" s="103"/>
      <c r="B2" s="103"/>
      <c r="C2" s="107" t="s">
        <v>158</v>
      </c>
      <c r="D2" s="106" t="s">
        <v>153</v>
      </c>
      <c r="E2" s="106" t="s">
        <v>153</v>
      </c>
      <c r="F2" s="106" t="s">
        <v>153</v>
      </c>
      <c r="G2" s="106" t="s">
        <v>187</v>
      </c>
      <c r="H2" s="106" t="s">
        <v>186</v>
      </c>
      <c r="I2" s="106" t="s">
        <v>153</v>
      </c>
    </row>
    <row r="3" spans="1:9" x14ac:dyDescent="0.2">
      <c r="A3" s="701" t="s">
        <v>142</v>
      </c>
      <c r="B3" s="702" t="s">
        <v>291</v>
      </c>
      <c r="C3" s="110" t="s">
        <v>329</v>
      </c>
      <c r="D3" s="112" t="s">
        <v>152</v>
      </c>
      <c r="E3" s="112" t="s">
        <v>154</v>
      </c>
      <c r="F3" s="112" t="s">
        <v>155</v>
      </c>
      <c r="G3" s="112" t="s">
        <v>152</v>
      </c>
      <c r="H3" s="112" t="s">
        <v>155</v>
      </c>
      <c r="I3" s="112" t="s">
        <v>152</v>
      </c>
    </row>
    <row r="4" spans="1:9" x14ac:dyDescent="0.2">
      <c r="A4" s="701"/>
      <c r="B4" s="702"/>
      <c r="C4" s="113" t="s">
        <v>330</v>
      </c>
      <c r="D4" s="112" t="s">
        <v>155</v>
      </c>
      <c r="E4" s="112" t="s">
        <v>154</v>
      </c>
      <c r="F4" s="112" t="s">
        <v>152</v>
      </c>
      <c r="G4" s="112" t="s">
        <v>155</v>
      </c>
      <c r="H4" s="112" t="s">
        <v>152</v>
      </c>
      <c r="I4" s="112" t="s">
        <v>155</v>
      </c>
    </row>
    <row r="5" spans="1:9" x14ac:dyDescent="0.2">
      <c r="A5" s="701"/>
      <c r="B5" s="702"/>
      <c r="C5" s="113" t="s">
        <v>331</v>
      </c>
      <c r="D5" s="112" t="s">
        <v>152</v>
      </c>
      <c r="E5" s="112" t="s">
        <v>154</v>
      </c>
      <c r="F5" s="112" t="s">
        <v>155</v>
      </c>
      <c r="G5" s="112" t="s">
        <v>154</v>
      </c>
      <c r="H5" s="112" t="s">
        <v>155</v>
      </c>
      <c r="I5" s="112" t="s">
        <v>152</v>
      </c>
    </row>
    <row r="6" spans="1:9" s="114" customFormat="1" x14ac:dyDescent="0.2">
      <c r="A6" s="701"/>
      <c r="B6" s="702" t="s">
        <v>377</v>
      </c>
      <c r="C6" s="113" t="s">
        <v>332</v>
      </c>
      <c r="D6" s="112" t="s">
        <v>152</v>
      </c>
      <c r="E6" s="112" t="s">
        <v>154</v>
      </c>
      <c r="F6" s="112" t="s">
        <v>154</v>
      </c>
      <c r="G6" s="112" t="s">
        <v>152</v>
      </c>
      <c r="H6" s="112" t="s">
        <v>152</v>
      </c>
      <c r="I6" s="112" t="s">
        <v>152</v>
      </c>
    </row>
    <row r="7" spans="1:9" s="114" customFormat="1" x14ac:dyDescent="0.2">
      <c r="A7" s="701"/>
      <c r="B7" s="702"/>
      <c r="C7" s="113" t="s">
        <v>333</v>
      </c>
      <c r="D7" s="112" t="s">
        <v>152</v>
      </c>
      <c r="E7" s="112" t="s">
        <v>154</v>
      </c>
      <c r="F7" s="112" t="s">
        <v>154</v>
      </c>
      <c r="G7" s="112" t="s">
        <v>152</v>
      </c>
      <c r="H7" s="112" t="s">
        <v>152</v>
      </c>
      <c r="I7" s="112" t="s">
        <v>152</v>
      </c>
    </row>
    <row r="8" spans="1:9" s="114" customFormat="1" x14ac:dyDescent="0.2">
      <c r="A8" s="701"/>
      <c r="B8" s="702"/>
      <c r="C8" s="113" t="s">
        <v>334</v>
      </c>
      <c r="D8" s="112" t="s">
        <v>152</v>
      </c>
      <c r="E8" s="112" t="s">
        <v>154</v>
      </c>
      <c r="F8" s="112" t="s">
        <v>156</v>
      </c>
      <c r="G8" s="112" t="s">
        <v>152</v>
      </c>
      <c r="H8" s="112" t="s">
        <v>154</v>
      </c>
      <c r="I8" s="112" t="s">
        <v>152</v>
      </c>
    </row>
    <row r="9" spans="1:9" x14ac:dyDescent="0.2">
      <c r="A9" s="701"/>
      <c r="B9" s="702"/>
      <c r="C9" s="113" t="s">
        <v>335</v>
      </c>
      <c r="D9" s="112" t="s">
        <v>152</v>
      </c>
      <c r="E9" s="112" t="s">
        <v>154</v>
      </c>
      <c r="F9" s="112" t="s">
        <v>156</v>
      </c>
      <c r="G9" s="112" t="s">
        <v>152</v>
      </c>
      <c r="H9" s="112" t="s">
        <v>154</v>
      </c>
      <c r="I9" s="112" t="s">
        <v>152</v>
      </c>
    </row>
    <row r="10" spans="1:9" x14ac:dyDescent="0.2">
      <c r="A10" s="701"/>
      <c r="B10" s="702"/>
      <c r="C10" s="113" t="s">
        <v>336</v>
      </c>
      <c r="D10" s="112" t="s">
        <v>152</v>
      </c>
      <c r="E10" s="112" t="s">
        <v>154</v>
      </c>
      <c r="F10" s="112" t="s">
        <v>155</v>
      </c>
      <c r="G10" s="112" t="s">
        <v>157</v>
      </c>
      <c r="H10" s="112" t="s">
        <v>155</v>
      </c>
      <c r="I10" s="112" t="s">
        <v>152</v>
      </c>
    </row>
    <row r="11" spans="1:9" x14ac:dyDescent="0.2">
      <c r="A11" s="701"/>
      <c r="B11" s="702"/>
      <c r="C11" s="113" t="s">
        <v>337</v>
      </c>
      <c r="D11" s="112" t="s">
        <v>152</v>
      </c>
      <c r="E11" s="112" t="s">
        <v>154</v>
      </c>
      <c r="F11" s="112" t="s">
        <v>155</v>
      </c>
      <c r="G11" s="112" t="s">
        <v>157</v>
      </c>
      <c r="H11" s="112" t="s">
        <v>155</v>
      </c>
      <c r="I11" s="112" t="s">
        <v>152</v>
      </c>
    </row>
    <row r="12" spans="1:9" s="114" customFormat="1" x14ac:dyDescent="0.2">
      <c r="A12" s="701"/>
      <c r="B12" s="702" t="s">
        <v>10</v>
      </c>
      <c r="C12" s="113" t="s">
        <v>338</v>
      </c>
      <c r="D12" s="115" t="s">
        <v>152</v>
      </c>
      <c r="E12" s="115" t="s">
        <v>154</v>
      </c>
      <c r="F12" s="115" t="s">
        <v>155</v>
      </c>
      <c r="G12" s="112" t="s">
        <v>154</v>
      </c>
      <c r="H12" s="112" t="s">
        <v>155</v>
      </c>
      <c r="I12" s="115" t="s">
        <v>152</v>
      </c>
    </row>
    <row r="13" spans="1:9" s="114" customFormat="1" x14ac:dyDescent="0.2">
      <c r="A13" s="701"/>
      <c r="B13" s="702"/>
      <c r="C13" s="113" t="s">
        <v>339</v>
      </c>
      <c r="D13" s="115" t="s">
        <v>152</v>
      </c>
      <c r="E13" s="115" t="s">
        <v>154</v>
      </c>
      <c r="F13" s="115" t="s">
        <v>155</v>
      </c>
      <c r="G13" s="112" t="s">
        <v>154</v>
      </c>
      <c r="H13" s="112" t="s">
        <v>155</v>
      </c>
      <c r="I13" s="115" t="s">
        <v>152</v>
      </c>
    </row>
    <row r="14" spans="1:9" s="114" customFormat="1" x14ac:dyDescent="0.2">
      <c r="A14" s="701"/>
      <c r="B14" s="702" t="s">
        <v>378</v>
      </c>
      <c r="C14" s="116" t="s">
        <v>340</v>
      </c>
      <c r="D14" s="115" t="s">
        <v>152</v>
      </c>
      <c r="E14" s="115" t="s">
        <v>154</v>
      </c>
      <c r="F14" s="115" t="s">
        <v>155</v>
      </c>
      <c r="G14" s="112" t="s">
        <v>154</v>
      </c>
      <c r="H14" s="112" t="s">
        <v>152</v>
      </c>
      <c r="I14" s="115" t="s">
        <v>152</v>
      </c>
    </row>
    <row r="15" spans="1:9" x14ac:dyDescent="0.2">
      <c r="A15" s="701"/>
      <c r="B15" s="702"/>
      <c r="C15" s="117" t="s">
        <v>341</v>
      </c>
      <c r="D15" s="115" t="s">
        <v>155</v>
      </c>
      <c r="E15" s="115" t="s">
        <v>154</v>
      </c>
      <c r="F15" s="115" t="s">
        <v>152</v>
      </c>
      <c r="G15" s="112" t="s">
        <v>154</v>
      </c>
      <c r="H15" s="112" t="s">
        <v>155</v>
      </c>
      <c r="I15" s="115" t="s">
        <v>155</v>
      </c>
    </row>
    <row r="16" spans="1:9" x14ac:dyDescent="0.2">
      <c r="A16" s="701" t="s">
        <v>144</v>
      </c>
      <c r="B16" s="702" t="s">
        <v>379</v>
      </c>
      <c r="C16" s="113" t="s">
        <v>342</v>
      </c>
      <c r="D16" s="106" t="s">
        <v>155</v>
      </c>
      <c r="E16" s="106" t="s">
        <v>154</v>
      </c>
      <c r="F16" s="106" t="s">
        <v>152</v>
      </c>
      <c r="G16" s="112" t="s">
        <v>155</v>
      </c>
      <c r="H16" s="112" t="s">
        <v>152</v>
      </c>
      <c r="I16" s="106" t="s">
        <v>156</v>
      </c>
    </row>
    <row r="17" spans="1:9" x14ac:dyDescent="0.2">
      <c r="A17" s="701"/>
      <c r="B17" s="702"/>
      <c r="C17" s="110" t="s">
        <v>343</v>
      </c>
      <c r="D17" s="118" t="s">
        <v>152</v>
      </c>
      <c r="E17" s="118" t="s">
        <v>154</v>
      </c>
      <c r="F17" s="118" t="s">
        <v>155</v>
      </c>
      <c r="G17" s="118" t="s">
        <v>154</v>
      </c>
      <c r="H17" s="118" t="s">
        <v>155</v>
      </c>
      <c r="I17" s="118" t="s">
        <v>155</v>
      </c>
    </row>
    <row r="18" spans="1:9" x14ac:dyDescent="0.2">
      <c r="A18" s="701"/>
      <c r="B18" s="717" t="s">
        <v>380</v>
      </c>
      <c r="C18" s="116" t="s">
        <v>344</v>
      </c>
      <c r="D18" s="106" t="s">
        <v>152</v>
      </c>
      <c r="E18" s="106" t="s">
        <v>154</v>
      </c>
      <c r="F18" s="106" t="s">
        <v>155</v>
      </c>
      <c r="G18" s="112" t="s">
        <v>154</v>
      </c>
      <c r="H18" s="112" t="s">
        <v>155</v>
      </c>
      <c r="I18" s="106" t="s">
        <v>152</v>
      </c>
    </row>
    <row r="19" spans="1:9" x14ac:dyDescent="0.2">
      <c r="A19" s="701"/>
      <c r="B19" s="717"/>
      <c r="C19" s="113" t="s">
        <v>345</v>
      </c>
      <c r="D19" s="106" t="s">
        <v>155</v>
      </c>
      <c r="E19" s="106" t="s">
        <v>154</v>
      </c>
      <c r="F19" s="106" t="s">
        <v>152</v>
      </c>
      <c r="G19" s="112" t="s">
        <v>155</v>
      </c>
      <c r="H19" s="112" t="s">
        <v>152</v>
      </c>
      <c r="I19" s="106" t="s">
        <v>156</v>
      </c>
    </row>
    <row r="20" spans="1:9" x14ac:dyDescent="0.2">
      <c r="A20" s="701"/>
      <c r="B20" s="717"/>
      <c r="C20" s="113" t="s">
        <v>346</v>
      </c>
      <c r="D20" s="106" t="s">
        <v>155</v>
      </c>
      <c r="E20" s="106" t="s">
        <v>154</v>
      </c>
      <c r="F20" s="106" t="s">
        <v>152</v>
      </c>
      <c r="G20" s="112" t="s">
        <v>155</v>
      </c>
      <c r="H20" s="112" t="s">
        <v>152</v>
      </c>
      <c r="I20" s="106" t="s">
        <v>156</v>
      </c>
    </row>
    <row r="21" spans="1:9" x14ac:dyDescent="0.2">
      <c r="A21" s="701"/>
      <c r="B21" s="717"/>
      <c r="C21" s="113" t="s">
        <v>347</v>
      </c>
      <c r="D21" s="106" t="s">
        <v>155</v>
      </c>
      <c r="E21" s="106" t="s">
        <v>154</v>
      </c>
      <c r="F21" s="106" t="s">
        <v>152</v>
      </c>
      <c r="G21" s="112" t="s">
        <v>155</v>
      </c>
      <c r="H21" s="112" t="s">
        <v>152</v>
      </c>
      <c r="I21" s="106" t="s">
        <v>156</v>
      </c>
    </row>
    <row r="22" spans="1:9" x14ac:dyDescent="0.2">
      <c r="A22" s="701"/>
      <c r="B22" s="717"/>
      <c r="C22" s="113" t="s">
        <v>348</v>
      </c>
      <c r="D22" s="106" t="s">
        <v>152</v>
      </c>
      <c r="E22" s="106" t="s">
        <v>154</v>
      </c>
      <c r="F22" s="106" t="s">
        <v>155</v>
      </c>
      <c r="G22" s="112" t="s">
        <v>152</v>
      </c>
      <c r="H22" s="112" t="s">
        <v>155</v>
      </c>
      <c r="I22" s="106" t="s">
        <v>157</v>
      </c>
    </row>
    <row r="23" spans="1:9" s="114" customFormat="1" x14ac:dyDescent="0.2">
      <c r="A23" s="701"/>
      <c r="B23" s="717"/>
      <c r="C23" s="113" t="s">
        <v>349</v>
      </c>
      <c r="D23" s="119" t="s">
        <v>154</v>
      </c>
      <c r="E23" s="119" t="s">
        <v>154</v>
      </c>
      <c r="F23" s="119" t="s">
        <v>152</v>
      </c>
      <c r="G23" s="112" t="s">
        <v>155</v>
      </c>
      <c r="H23" s="112" t="s">
        <v>152</v>
      </c>
      <c r="I23" s="119" t="s">
        <v>157</v>
      </c>
    </row>
    <row r="24" spans="1:9" s="114" customFormat="1" x14ac:dyDescent="0.2">
      <c r="A24" s="701" t="s">
        <v>172</v>
      </c>
      <c r="B24" s="717" t="s">
        <v>381</v>
      </c>
      <c r="C24" s="120" t="s">
        <v>350</v>
      </c>
      <c r="D24" s="121" t="s">
        <v>177</v>
      </c>
      <c r="E24" s="119" t="s">
        <v>154</v>
      </c>
      <c r="F24" s="121" t="s">
        <v>177</v>
      </c>
      <c r="G24" s="121" t="s">
        <v>177</v>
      </c>
      <c r="H24" s="121" t="s">
        <v>177</v>
      </c>
      <c r="I24" s="121" t="s">
        <v>177</v>
      </c>
    </row>
    <row r="25" spans="1:9" s="114" customFormat="1" x14ac:dyDescent="0.2">
      <c r="A25" s="701"/>
      <c r="B25" s="717"/>
      <c r="C25" s="113" t="s">
        <v>351</v>
      </c>
      <c r="D25" s="119" t="s">
        <v>154</v>
      </c>
      <c r="E25" s="119" t="s">
        <v>154</v>
      </c>
      <c r="F25" s="119" t="s">
        <v>155</v>
      </c>
      <c r="G25" s="119" t="s">
        <v>154</v>
      </c>
      <c r="H25" s="119" t="s">
        <v>154</v>
      </c>
      <c r="I25" s="119" t="s">
        <v>152</v>
      </c>
    </row>
    <row r="26" spans="1:9" s="114" customFormat="1" x14ac:dyDescent="0.2">
      <c r="A26" s="701"/>
      <c r="B26" s="717"/>
      <c r="C26" s="116" t="s">
        <v>352</v>
      </c>
      <c r="D26" s="119" t="s">
        <v>154</v>
      </c>
      <c r="E26" s="119" t="s">
        <v>154</v>
      </c>
      <c r="F26" s="119" t="s">
        <v>155</v>
      </c>
      <c r="G26" s="119" t="s">
        <v>154</v>
      </c>
      <c r="H26" s="119" t="s">
        <v>154</v>
      </c>
      <c r="I26" s="119" t="s">
        <v>152</v>
      </c>
    </row>
    <row r="27" spans="1:9" s="114" customFormat="1" x14ac:dyDescent="0.2">
      <c r="A27" s="701"/>
      <c r="B27" s="717"/>
      <c r="C27" s="116" t="s">
        <v>353</v>
      </c>
      <c r="D27" s="119" t="s">
        <v>154</v>
      </c>
      <c r="E27" s="119" t="s">
        <v>154</v>
      </c>
      <c r="F27" s="119" t="s">
        <v>155</v>
      </c>
      <c r="G27" s="119" t="s">
        <v>154</v>
      </c>
      <c r="H27" s="119" t="s">
        <v>154</v>
      </c>
      <c r="I27" s="119" t="s">
        <v>152</v>
      </c>
    </row>
    <row r="28" spans="1:9" s="114" customFormat="1" x14ac:dyDescent="0.2">
      <c r="A28" s="701"/>
      <c r="B28" s="717"/>
      <c r="C28" s="116" t="s">
        <v>354</v>
      </c>
      <c r="D28" s="119" t="s">
        <v>152</v>
      </c>
      <c r="E28" s="119" t="s">
        <v>154</v>
      </c>
      <c r="F28" s="119" t="s">
        <v>155</v>
      </c>
      <c r="G28" s="119" t="s">
        <v>152</v>
      </c>
      <c r="H28" s="119" t="s">
        <v>155</v>
      </c>
      <c r="I28" s="119" t="s">
        <v>154</v>
      </c>
    </row>
    <row r="29" spans="1:9" s="114" customFormat="1" x14ac:dyDescent="0.2">
      <c r="A29" s="701"/>
      <c r="B29" s="717"/>
      <c r="C29" s="113" t="s">
        <v>355</v>
      </c>
      <c r="D29" s="119" t="s">
        <v>152</v>
      </c>
      <c r="E29" s="119" t="s">
        <v>154</v>
      </c>
      <c r="F29" s="119" t="s">
        <v>155</v>
      </c>
      <c r="G29" s="119" t="s">
        <v>152</v>
      </c>
      <c r="H29" s="119" t="s">
        <v>155</v>
      </c>
      <c r="I29" s="119" t="s">
        <v>154</v>
      </c>
    </row>
    <row r="30" spans="1:9" s="114" customFormat="1" x14ac:dyDescent="0.2">
      <c r="A30" s="701"/>
      <c r="B30" s="717"/>
      <c r="C30" s="110" t="s">
        <v>356</v>
      </c>
      <c r="D30" s="121" t="s">
        <v>154</v>
      </c>
      <c r="E30" s="119" t="s">
        <v>154</v>
      </c>
      <c r="F30" s="121" t="s">
        <v>152</v>
      </c>
      <c r="G30" s="122" t="s">
        <v>154</v>
      </c>
      <c r="H30" s="119" t="s">
        <v>154</v>
      </c>
      <c r="I30" s="122" t="s">
        <v>155</v>
      </c>
    </row>
    <row r="31" spans="1:9" x14ac:dyDescent="0.2">
      <c r="A31" s="701"/>
      <c r="B31" s="717" t="s">
        <v>382</v>
      </c>
      <c r="C31" s="116" t="s">
        <v>357</v>
      </c>
      <c r="D31" s="121" t="s">
        <v>155</v>
      </c>
      <c r="E31" s="121" t="s">
        <v>154</v>
      </c>
      <c r="F31" s="122" t="s">
        <v>152</v>
      </c>
      <c r="G31" s="121" t="s">
        <v>155</v>
      </c>
      <c r="H31" s="121" t="s">
        <v>152</v>
      </c>
      <c r="I31" s="122" t="s">
        <v>152</v>
      </c>
    </row>
    <row r="32" spans="1:9" x14ac:dyDescent="0.2">
      <c r="A32" s="701"/>
      <c r="B32" s="717"/>
      <c r="C32" s="116" t="s">
        <v>358</v>
      </c>
      <c r="D32" s="121" t="s">
        <v>155</v>
      </c>
      <c r="E32" s="121" t="s">
        <v>154</v>
      </c>
      <c r="F32" s="122" t="s">
        <v>152</v>
      </c>
      <c r="G32" s="121" t="s">
        <v>155</v>
      </c>
      <c r="H32" s="121" t="s">
        <v>152</v>
      </c>
      <c r="I32" s="122" t="s">
        <v>152</v>
      </c>
    </row>
    <row r="33" spans="1:9" x14ac:dyDescent="0.2">
      <c r="A33" s="701"/>
      <c r="B33" s="717"/>
      <c r="C33" s="116" t="s">
        <v>359</v>
      </c>
      <c r="D33" s="121" t="s">
        <v>155</v>
      </c>
      <c r="E33" s="121" t="s">
        <v>154</v>
      </c>
      <c r="F33" s="122" t="s">
        <v>152</v>
      </c>
      <c r="G33" s="121" t="s">
        <v>155</v>
      </c>
      <c r="H33" s="121" t="s">
        <v>152</v>
      </c>
      <c r="I33" s="122" t="s">
        <v>152</v>
      </c>
    </row>
    <row r="34" spans="1:9" x14ac:dyDescent="0.2">
      <c r="A34" s="701"/>
      <c r="B34" s="717"/>
      <c r="C34" s="116" t="s">
        <v>360</v>
      </c>
      <c r="D34" s="121" t="s">
        <v>152</v>
      </c>
      <c r="E34" s="121" t="s">
        <v>154</v>
      </c>
      <c r="F34" s="121" t="s">
        <v>155</v>
      </c>
      <c r="G34" s="122" t="s">
        <v>152</v>
      </c>
      <c r="H34" s="122" t="s">
        <v>152</v>
      </c>
      <c r="I34" s="122" t="s">
        <v>155</v>
      </c>
    </row>
    <row r="35" spans="1:9" x14ac:dyDescent="0.2">
      <c r="A35" s="701"/>
      <c r="B35" s="717"/>
      <c r="C35" s="110" t="s">
        <v>361</v>
      </c>
      <c r="D35" s="121" t="s">
        <v>152</v>
      </c>
      <c r="E35" s="121" t="s">
        <v>154</v>
      </c>
      <c r="F35" s="122" t="s">
        <v>155</v>
      </c>
      <c r="G35" s="121" t="s">
        <v>152</v>
      </c>
      <c r="H35" s="121" t="s">
        <v>152</v>
      </c>
      <c r="I35" s="122" t="s">
        <v>155</v>
      </c>
    </row>
    <row r="36" spans="1:9" x14ac:dyDescent="0.2">
      <c r="A36" s="701" t="s">
        <v>173</v>
      </c>
      <c r="B36" s="717" t="s">
        <v>383</v>
      </c>
      <c r="C36" s="123" t="s">
        <v>362</v>
      </c>
      <c r="D36" s="121" t="s">
        <v>155</v>
      </c>
      <c r="E36" s="121" t="s">
        <v>154</v>
      </c>
      <c r="F36" s="121" t="s">
        <v>157</v>
      </c>
      <c r="G36" s="122" t="s">
        <v>156</v>
      </c>
      <c r="H36" s="122" t="s">
        <v>154</v>
      </c>
      <c r="I36" s="122" t="s">
        <v>152</v>
      </c>
    </row>
    <row r="37" spans="1:9" x14ac:dyDescent="0.2">
      <c r="A37" s="701"/>
      <c r="B37" s="717"/>
      <c r="C37" s="110" t="s">
        <v>363</v>
      </c>
      <c r="D37" s="119" t="s">
        <v>154</v>
      </c>
      <c r="E37" s="119" t="s">
        <v>154</v>
      </c>
      <c r="F37" s="119" t="s">
        <v>152</v>
      </c>
      <c r="G37" s="119" t="s">
        <v>154</v>
      </c>
      <c r="H37" s="119" t="s">
        <v>154</v>
      </c>
      <c r="I37" s="119" t="s">
        <v>155</v>
      </c>
    </row>
    <row r="38" spans="1:9" x14ac:dyDescent="0.2">
      <c r="A38" s="701"/>
      <c r="B38" s="717"/>
      <c r="C38" s="117" t="s">
        <v>364</v>
      </c>
      <c r="D38" s="119" t="s">
        <v>155</v>
      </c>
      <c r="E38" s="119" t="s">
        <v>154</v>
      </c>
      <c r="F38" s="119" t="s">
        <v>152</v>
      </c>
      <c r="G38" s="119" t="s">
        <v>155</v>
      </c>
      <c r="H38" s="119" t="s">
        <v>155</v>
      </c>
      <c r="I38" s="119" t="s">
        <v>154</v>
      </c>
    </row>
    <row r="39" spans="1:9" x14ac:dyDescent="0.2">
      <c r="A39" s="701"/>
      <c r="B39" s="717"/>
      <c r="C39" s="117" t="s">
        <v>365</v>
      </c>
      <c r="D39" s="119" t="s">
        <v>155</v>
      </c>
      <c r="E39" s="119" t="s">
        <v>154</v>
      </c>
      <c r="F39" s="119" t="s">
        <v>152</v>
      </c>
      <c r="G39" s="119" t="s">
        <v>155</v>
      </c>
      <c r="H39" s="119" t="s">
        <v>155</v>
      </c>
      <c r="I39" s="119" t="s">
        <v>154</v>
      </c>
    </row>
    <row r="40" spans="1:9" x14ac:dyDescent="0.2">
      <c r="A40" s="701"/>
      <c r="B40" s="717"/>
      <c r="C40" s="117" t="s">
        <v>366</v>
      </c>
      <c r="D40" s="119" t="s">
        <v>155</v>
      </c>
      <c r="E40" s="119" t="s">
        <v>154</v>
      </c>
      <c r="F40" s="119" t="s">
        <v>152</v>
      </c>
      <c r="G40" s="119" t="s">
        <v>155</v>
      </c>
      <c r="H40" s="119" t="s">
        <v>155</v>
      </c>
      <c r="I40" s="119" t="s">
        <v>154</v>
      </c>
    </row>
    <row r="41" spans="1:9" ht="22.5" x14ac:dyDescent="0.2">
      <c r="A41" s="701"/>
      <c r="B41" s="499" t="s">
        <v>285</v>
      </c>
      <c r="C41" s="117" t="s">
        <v>367</v>
      </c>
      <c r="D41" s="121" t="s">
        <v>155</v>
      </c>
      <c r="E41" s="121" t="s">
        <v>154</v>
      </c>
      <c r="F41" s="121" t="s">
        <v>152</v>
      </c>
      <c r="G41" s="122" t="s">
        <v>154</v>
      </c>
      <c r="H41" s="122" t="s">
        <v>152</v>
      </c>
      <c r="I41" s="122" t="s">
        <v>152</v>
      </c>
    </row>
    <row r="42" spans="1:9" s="114" customFormat="1" ht="9.75" customHeight="1" x14ac:dyDescent="0.2">
      <c r="A42" s="701" t="s">
        <v>135</v>
      </c>
      <c r="B42" s="717" t="s">
        <v>384</v>
      </c>
      <c r="C42" s="116" t="s">
        <v>368</v>
      </c>
      <c r="D42" s="114" t="s">
        <v>155</v>
      </c>
      <c r="E42" s="114" t="s">
        <v>154</v>
      </c>
      <c r="F42" s="114" t="s">
        <v>152</v>
      </c>
      <c r="G42" s="114" t="s">
        <v>155</v>
      </c>
      <c r="H42" s="114" t="s">
        <v>152</v>
      </c>
      <c r="I42" s="114" t="s">
        <v>154</v>
      </c>
    </row>
    <row r="43" spans="1:9" s="114" customFormat="1" x14ac:dyDescent="0.2">
      <c r="A43" s="701"/>
      <c r="B43" s="717"/>
      <c r="C43" s="117" t="s">
        <v>369</v>
      </c>
      <c r="D43" s="114" t="s">
        <v>152</v>
      </c>
      <c r="E43" s="114" t="s">
        <v>154</v>
      </c>
      <c r="F43" s="114" t="s">
        <v>155</v>
      </c>
      <c r="G43" s="114" t="s">
        <v>152</v>
      </c>
      <c r="H43" s="114" t="s">
        <v>155</v>
      </c>
      <c r="I43" s="114" t="s">
        <v>154</v>
      </c>
    </row>
    <row r="44" spans="1:9" x14ac:dyDescent="0.2">
      <c r="A44" s="701"/>
      <c r="B44" s="702" t="s">
        <v>385</v>
      </c>
      <c r="C44" s="113" t="s">
        <v>370</v>
      </c>
      <c r="D44" s="119" t="s">
        <v>152</v>
      </c>
      <c r="E44" s="119" t="s">
        <v>154</v>
      </c>
      <c r="F44" s="119" t="s">
        <v>155</v>
      </c>
      <c r="G44" s="119" t="s">
        <v>152</v>
      </c>
      <c r="H44" s="119" t="s">
        <v>155</v>
      </c>
      <c r="I44" s="119" t="s">
        <v>152</v>
      </c>
    </row>
    <row r="45" spans="1:9" x14ac:dyDescent="0.2">
      <c r="A45" s="701"/>
      <c r="B45" s="702"/>
      <c r="C45" s="116" t="s">
        <v>371</v>
      </c>
      <c r="D45" s="119" t="s">
        <v>152</v>
      </c>
      <c r="E45" s="119" t="s">
        <v>154</v>
      </c>
      <c r="F45" s="119" t="s">
        <v>155</v>
      </c>
      <c r="G45" s="119" t="s">
        <v>152</v>
      </c>
      <c r="H45" s="119" t="s">
        <v>155</v>
      </c>
      <c r="I45" s="119" t="s">
        <v>152</v>
      </c>
    </row>
    <row r="46" spans="1:9" x14ac:dyDescent="0.2">
      <c r="A46" s="701" t="s">
        <v>290</v>
      </c>
      <c r="B46" s="702" t="s">
        <v>386</v>
      </c>
      <c r="C46" s="113" t="s">
        <v>372</v>
      </c>
      <c r="D46" s="119" t="s">
        <v>155</v>
      </c>
      <c r="E46" s="119" t="s">
        <v>154</v>
      </c>
      <c r="F46" s="119" t="s">
        <v>152</v>
      </c>
      <c r="G46" s="119" t="s">
        <v>154</v>
      </c>
      <c r="H46" s="119" t="s">
        <v>154</v>
      </c>
      <c r="I46" s="119" t="s">
        <v>152</v>
      </c>
    </row>
    <row r="47" spans="1:9" x14ac:dyDescent="0.2">
      <c r="A47" s="701"/>
      <c r="B47" s="702"/>
      <c r="C47" s="113" t="s">
        <v>373</v>
      </c>
      <c r="D47" s="119" t="s">
        <v>155</v>
      </c>
      <c r="E47" s="119" t="s">
        <v>154</v>
      </c>
      <c r="F47" s="119" t="s">
        <v>152</v>
      </c>
      <c r="G47" s="119" t="s">
        <v>154</v>
      </c>
      <c r="H47" s="119" t="s">
        <v>154</v>
      </c>
      <c r="I47" s="119" t="s">
        <v>152</v>
      </c>
    </row>
    <row r="48" spans="1:9" x14ac:dyDescent="0.2">
      <c r="A48" s="701"/>
      <c r="B48" s="702"/>
      <c r="C48" s="113" t="s">
        <v>374</v>
      </c>
      <c r="D48" s="119" t="s">
        <v>155</v>
      </c>
      <c r="E48" s="119" t="s">
        <v>154</v>
      </c>
      <c r="F48" s="119" t="s">
        <v>152</v>
      </c>
      <c r="G48" s="119" t="s">
        <v>154</v>
      </c>
      <c r="H48" s="119" t="s">
        <v>154</v>
      </c>
      <c r="I48" s="119" t="s">
        <v>152</v>
      </c>
    </row>
    <row r="49" spans="1:10" x14ac:dyDescent="0.2">
      <c r="A49" s="701"/>
      <c r="B49" s="702" t="s">
        <v>174</v>
      </c>
      <c r="C49" s="113" t="s">
        <v>375</v>
      </c>
      <c r="D49" s="119" t="s">
        <v>155</v>
      </c>
      <c r="E49" s="119" t="s">
        <v>154</v>
      </c>
      <c r="F49" s="119" t="s">
        <v>152</v>
      </c>
      <c r="G49" s="119" t="s">
        <v>154</v>
      </c>
      <c r="H49" s="119" t="s">
        <v>154</v>
      </c>
      <c r="I49" s="119" t="s">
        <v>152</v>
      </c>
    </row>
    <row r="50" spans="1:10" ht="13.9" customHeight="1" x14ac:dyDescent="0.2">
      <c r="A50" s="701"/>
      <c r="B50" s="702"/>
      <c r="C50" s="117" t="s">
        <v>376</v>
      </c>
      <c r="D50" s="126" t="s">
        <v>255</v>
      </c>
      <c r="E50" s="112" t="s">
        <v>256</v>
      </c>
      <c r="F50" s="112" t="s">
        <v>257</v>
      </c>
      <c r="G50" s="112" t="s">
        <v>258</v>
      </c>
      <c r="H50" s="112" t="s">
        <v>256</v>
      </c>
      <c r="I50" s="112" t="s">
        <v>257</v>
      </c>
    </row>
    <row r="51" spans="1:10" x14ac:dyDescent="0.2">
      <c r="A51" s="127"/>
      <c r="B51" s="127"/>
    </row>
    <row r="52" spans="1:10" x14ac:dyDescent="0.2">
      <c r="A52" s="127"/>
      <c r="B52" s="127"/>
      <c r="D52" s="126">
        <v>4</v>
      </c>
      <c r="E52" s="112">
        <v>1</v>
      </c>
      <c r="F52" s="112">
        <v>0</v>
      </c>
      <c r="G52" s="112">
        <v>2</v>
      </c>
      <c r="H52" s="112">
        <v>1</v>
      </c>
      <c r="I52" s="112">
        <v>1</v>
      </c>
      <c r="J52" s="112">
        <v>0</v>
      </c>
    </row>
    <row r="53" spans="1:10" x14ac:dyDescent="0.2">
      <c r="A53" s="127"/>
      <c r="B53" s="127"/>
    </row>
  </sheetData>
  <mergeCells count="19">
    <mergeCell ref="A16:A23"/>
    <mergeCell ref="B16:B17"/>
    <mergeCell ref="B18:B23"/>
    <mergeCell ref="A3:A15"/>
    <mergeCell ref="B3:B5"/>
    <mergeCell ref="B6:B11"/>
    <mergeCell ref="B12:B13"/>
    <mergeCell ref="B14:B15"/>
    <mergeCell ref="A46:A50"/>
    <mergeCell ref="B46:B48"/>
    <mergeCell ref="B49:B50"/>
    <mergeCell ref="A24:A35"/>
    <mergeCell ref="B24:B30"/>
    <mergeCell ref="B31:B35"/>
    <mergeCell ref="A36:A41"/>
    <mergeCell ref="B36:B40"/>
    <mergeCell ref="A42:A45"/>
    <mergeCell ref="B42:B43"/>
    <mergeCell ref="B44:B45"/>
  </mergeCells>
  <pageMargins left="0.7" right="0.7" top="0.75" bottom="0.75" header="0.3" footer="0.3"/>
  <pageSetup paperSize="9"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80" zoomScaleNormal="80" workbookViewId="0">
      <pane xSplit="3" ySplit="1" topLeftCell="G17" activePane="bottomRight" state="frozen"/>
      <selection pane="topRight" activeCell="C1" sqref="C1"/>
      <selection pane="bottomLeft" activeCell="A2" sqref="A2"/>
      <selection pane="bottomRight" activeCell="N3" sqref="N3:N52"/>
    </sheetView>
  </sheetViews>
  <sheetFormatPr defaultColWidth="9" defaultRowHeight="15" x14ac:dyDescent="0.25"/>
  <cols>
    <col min="1" max="2" width="14.28515625" style="355" customWidth="1"/>
    <col min="3" max="3" width="89.85546875" style="355" customWidth="1"/>
    <col min="4" max="4" width="18" style="360" customWidth="1"/>
    <col min="5" max="5" width="21.85546875" style="360" customWidth="1"/>
    <col min="6" max="6" width="28" style="360" customWidth="1"/>
    <col min="7" max="7" width="23.140625" style="360" customWidth="1"/>
    <col min="8" max="8" width="24.85546875" style="360" customWidth="1"/>
    <col min="9" max="10" width="20.140625" style="360" customWidth="1"/>
    <col min="11" max="11" width="22" style="360" customWidth="1"/>
    <col min="12" max="12" width="16.42578125" style="355" bestFit="1" customWidth="1"/>
    <col min="13" max="13" width="16" style="355" bestFit="1" customWidth="1"/>
    <col min="14" max="14" width="16.42578125" style="355" bestFit="1" customWidth="1"/>
    <col min="15" max="15" width="16" style="355" bestFit="1" customWidth="1"/>
    <col min="16" max="16384" width="9" style="355"/>
  </cols>
  <sheetData>
    <row r="1" spans="1:15" s="26" customFormat="1" ht="124.9" customHeight="1" x14ac:dyDescent="0.25">
      <c r="A1" s="356"/>
      <c r="B1" s="356"/>
      <c r="C1" s="359" t="s">
        <v>3</v>
      </c>
      <c r="D1" s="360"/>
      <c r="E1" s="475" t="s">
        <v>136</v>
      </c>
      <c r="F1" s="475" t="s">
        <v>137</v>
      </c>
      <c r="G1" s="475" t="s">
        <v>138</v>
      </c>
      <c r="H1" s="670" t="s">
        <v>139</v>
      </c>
      <c r="I1" s="670"/>
      <c r="J1" s="670"/>
      <c r="K1" s="475" t="s">
        <v>140</v>
      </c>
      <c r="L1" s="669" t="s">
        <v>1439</v>
      </c>
      <c r="M1" s="669"/>
      <c r="N1" s="669" t="s">
        <v>1440</v>
      </c>
      <c r="O1" s="669"/>
    </row>
    <row r="2" spans="1:15" x14ac:dyDescent="0.25">
      <c r="A2" s="356"/>
      <c r="B2" s="356"/>
      <c r="C2" s="473" t="s">
        <v>158</v>
      </c>
      <c r="D2" s="360" t="s">
        <v>188</v>
      </c>
      <c r="E2" s="360" t="s">
        <v>153</v>
      </c>
      <c r="F2" s="360" t="s">
        <v>153</v>
      </c>
      <c r="G2" s="360" t="s">
        <v>153</v>
      </c>
      <c r="H2" s="360" t="s">
        <v>187</v>
      </c>
      <c r="I2" s="38" t="s">
        <v>153</v>
      </c>
      <c r="J2" s="360" t="s">
        <v>186</v>
      </c>
      <c r="K2" s="360" t="s">
        <v>153</v>
      </c>
      <c r="L2" s="360" t="s">
        <v>1438</v>
      </c>
      <c r="M2" s="360" t="s">
        <v>1437</v>
      </c>
      <c r="N2" s="360" t="s">
        <v>1438</v>
      </c>
      <c r="O2" s="360" t="s">
        <v>1437</v>
      </c>
    </row>
    <row r="3" spans="1:15" x14ac:dyDescent="0.25">
      <c r="A3" s="665"/>
      <c r="B3" s="665"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c r="L3" s="39">
        <f>$D3+$D3*Quantitative_assumption_rates!L4</f>
        <v>0.51500000000000001</v>
      </c>
      <c r="M3" s="39">
        <f>$D3+$D3*Quantitative_assumption_rates!M4</f>
        <v>0.46350000000000002</v>
      </c>
      <c r="N3" s="39">
        <f>$D3+$D3*Quantitative_assumption_rates!N4</f>
        <v>0.5665</v>
      </c>
      <c r="O3" s="39">
        <f>$D3+$D3*Quantitative_assumption_rates!O4</f>
        <v>0.5665</v>
      </c>
    </row>
    <row r="4" spans="1:15" x14ac:dyDescent="0.25">
      <c r="A4" s="665"/>
      <c r="B4" s="665"/>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c r="L4" s="39">
        <f>$D4+$D4*Quantitative_assumption_rates!L5</f>
        <v>12</v>
      </c>
      <c r="M4" s="39">
        <f>$D4+$D4*Quantitative_assumption_rates!M5</f>
        <v>13.2</v>
      </c>
      <c r="N4" s="39">
        <f>$D4+$D4*Quantitative_assumption_rates!N5</f>
        <v>10.8</v>
      </c>
      <c r="O4" s="39">
        <f>$D4+$D4*Quantitative_assumption_rates!O5</f>
        <v>10.8</v>
      </c>
    </row>
    <row r="5" spans="1:15" x14ac:dyDescent="0.25">
      <c r="A5" s="665"/>
      <c r="B5" s="665"/>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c r="L5" s="39">
        <f>$D5+$D5*Quantitative_assumption_rates!L6</f>
        <v>25.2</v>
      </c>
      <c r="M5" s="39">
        <f>$D5+$D5*Quantitative_assumption_rates!M6</f>
        <v>25.2</v>
      </c>
      <c r="N5" s="39">
        <f>$D5+$D5*Quantitative_assumption_rates!N6</f>
        <v>28</v>
      </c>
      <c r="O5" s="39">
        <f>$D5+$D5*Quantitative_assumption_rates!O6</f>
        <v>30.8</v>
      </c>
    </row>
    <row r="6" spans="1:15" s="358" customFormat="1" x14ac:dyDescent="0.25">
      <c r="A6" s="665"/>
      <c r="B6" s="665" t="s">
        <v>179</v>
      </c>
      <c r="C6" s="53" t="s">
        <v>33</v>
      </c>
      <c r="D6" s="59">
        <v>0</v>
      </c>
      <c r="E6" s="59">
        <v>7.5000000000000002E-4</v>
      </c>
      <c r="F6" s="56">
        <v>0</v>
      </c>
      <c r="G6" s="56">
        <v>0</v>
      </c>
      <c r="H6" s="59">
        <v>7.5000000000000002E-4</v>
      </c>
      <c r="I6" s="66">
        <f t="shared" si="0"/>
        <v>7.5000000000000002E-4</v>
      </c>
      <c r="J6" s="59">
        <v>7.5000000000000002E-4</v>
      </c>
      <c r="K6" s="59">
        <v>7.5000000000000002E-4</v>
      </c>
      <c r="L6" s="59">
        <v>0</v>
      </c>
      <c r="M6" s="59">
        <v>0</v>
      </c>
      <c r="N6" s="59">
        <v>0</v>
      </c>
      <c r="O6" s="59">
        <v>7.5000000000000002E-4</v>
      </c>
    </row>
    <row r="7" spans="1:15" s="358" customFormat="1" x14ac:dyDescent="0.25">
      <c r="A7" s="665"/>
      <c r="B7" s="665"/>
      <c r="C7" s="53" t="s">
        <v>34</v>
      </c>
      <c r="D7" s="59">
        <v>0</v>
      </c>
      <c r="E7" s="59">
        <v>5.0000000000000001E-4</v>
      </c>
      <c r="F7" s="56">
        <v>0</v>
      </c>
      <c r="G7" s="56">
        <v>0</v>
      </c>
      <c r="H7" s="59">
        <v>5.0000000000000001E-4</v>
      </c>
      <c r="I7" s="66">
        <f t="shared" si="0"/>
        <v>5.0000000000000001E-4</v>
      </c>
      <c r="J7" s="59">
        <v>5.0000000000000001E-4</v>
      </c>
      <c r="K7" s="59">
        <v>5.0000000000000001E-4</v>
      </c>
      <c r="L7" s="59">
        <v>0</v>
      </c>
      <c r="M7" s="59">
        <v>0</v>
      </c>
      <c r="N7" s="59">
        <v>0</v>
      </c>
      <c r="O7" s="59">
        <v>5.0000000000000001E-4</v>
      </c>
    </row>
    <row r="8" spans="1:15" s="358" customFormat="1" x14ac:dyDescent="0.25">
      <c r="A8" s="665"/>
      <c r="B8" s="665"/>
      <c r="C8" s="53" t="s">
        <v>35</v>
      </c>
      <c r="D8" s="59">
        <v>0</v>
      </c>
      <c r="E8" s="59">
        <v>2.5000000000000001E-4</v>
      </c>
      <c r="F8" s="56">
        <v>0</v>
      </c>
      <c r="G8" s="59">
        <v>-2E-3</v>
      </c>
      <c r="H8" s="59">
        <v>2.5000000000000001E-4</v>
      </c>
      <c r="I8" s="66">
        <f t="shared" si="0"/>
        <v>1.25E-4</v>
      </c>
      <c r="J8" s="56">
        <v>0</v>
      </c>
      <c r="K8" s="59">
        <v>2.5000000000000001E-4</v>
      </c>
      <c r="L8" s="59">
        <v>-2E-3</v>
      </c>
      <c r="M8" s="59">
        <v>-2E-3</v>
      </c>
      <c r="N8" s="59">
        <v>-2E-3</v>
      </c>
      <c r="O8" s="59">
        <v>2.5000000000000001E-4</v>
      </c>
    </row>
    <row r="9" spans="1:15" x14ac:dyDescent="0.25">
      <c r="A9" s="665"/>
      <c r="B9" s="665"/>
      <c r="C9" s="53" t="s">
        <v>36</v>
      </c>
      <c r="D9" s="59">
        <v>0</v>
      </c>
      <c r="E9" s="59">
        <v>5.0000000000000001E-4</v>
      </c>
      <c r="F9" s="56">
        <v>0</v>
      </c>
      <c r="G9" s="59">
        <v>-2E-3</v>
      </c>
      <c r="H9" s="59">
        <v>5.0000000000000001E-4</v>
      </c>
      <c r="I9" s="66">
        <f t="shared" si="0"/>
        <v>2.5000000000000001E-4</v>
      </c>
      <c r="J9" s="56">
        <v>0</v>
      </c>
      <c r="K9" s="59">
        <v>5.0000000000000001E-4</v>
      </c>
      <c r="L9" s="59">
        <v>-2E-3</v>
      </c>
      <c r="M9" s="59">
        <v>-2E-3</v>
      </c>
      <c r="N9" s="59">
        <v>-2E-3</v>
      </c>
      <c r="O9" s="59">
        <v>5.0000000000000001E-4</v>
      </c>
    </row>
    <row r="10" spans="1:15" x14ac:dyDescent="0.25">
      <c r="A10" s="665"/>
      <c r="B10" s="665"/>
      <c r="C10" s="53" t="s">
        <v>37</v>
      </c>
      <c r="D10" s="59">
        <v>0</v>
      </c>
      <c r="E10" s="59">
        <v>6.4999999999999997E-3</v>
      </c>
      <c r="F10" s="56">
        <v>0</v>
      </c>
      <c r="G10" s="59">
        <v>-5.0000000000000001E-4</v>
      </c>
      <c r="H10" s="59">
        <v>3.0000000000000001E-3</v>
      </c>
      <c r="I10" s="66">
        <f t="shared" si="0"/>
        <v>1.25E-3</v>
      </c>
      <c r="J10" s="59">
        <v>-5.0000000000000001E-4</v>
      </c>
      <c r="K10" s="59">
        <v>6.4999999999999997E-3</v>
      </c>
      <c r="L10" s="59">
        <v>-5.0000000000000001E-4</v>
      </c>
      <c r="M10" s="59">
        <v>-5.0000000000000001E-4</v>
      </c>
      <c r="N10" s="59">
        <v>-5.0000000000000001E-4</v>
      </c>
      <c r="O10" s="59">
        <v>6.4999999999999997E-3</v>
      </c>
    </row>
    <row r="11" spans="1:15" x14ac:dyDescent="0.25">
      <c r="A11" s="665"/>
      <c r="B11" s="665"/>
      <c r="C11" s="53" t="s">
        <v>38</v>
      </c>
      <c r="D11" s="59">
        <v>0</v>
      </c>
      <c r="E11" s="59">
        <v>6.4000000000000003E-3</v>
      </c>
      <c r="F11" s="56">
        <v>0</v>
      </c>
      <c r="G11" s="59">
        <v>-4.4999999999999999E-4</v>
      </c>
      <c r="H11" s="59">
        <v>2E-3</v>
      </c>
      <c r="I11" s="66">
        <f t="shared" si="0"/>
        <v>7.7500000000000008E-4</v>
      </c>
      <c r="J11" s="59">
        <v>-4.4999999999999999E-4</v>
      </c>
      <c r="K11" s="59">
        <v>6.4000000000000003E-3</v>
      </c>
      <c r="L11" s="59">
        <v>-4.4999999999999999E-4</v>
      </c>
      <c r="M11" s="59">
        <v>-4.4999999999999999E-4</v>
      </c>
      <c r="N11" s="59">
        <v>-4.4999999999999999E-4</v>
      </c>
      <c r="O11" s="59">
        <v>6.4000000000000003E-3</v>
      </c>
    </row>
    <row r="12" spans="1:15" s="358" customFormat="1" x14ac:dyDescent="0.25">
      <c r="A12" s="665"/>
      <c r="B12" s="665"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c r="L12" s="39">
        <f>$D12+$D12*Quantitative_assumption_rates!L15</f>
        <v>0.26249999999999996</v>
      </c>
      <c r="M12" s="39">
        <f>$D12+$D12*Quantitative_assumption_rates!M15</f>
        <v>0.26249999999999996</v>
      </c>
      <c r="N12" s="39">
        <f>$D12+$D12*Quantitative_assumption_rates!N15</f>
        <v>0.26249999999999996</v>
      </c>
      <c r="O12" s="39">
        <f>$D12+$D12*Quantitative_assumption_rates!O15</f>
        <v>0.4375</v>
      </c>
    </row>
    <row r="13" spans="1:15" s="358" customFormat="1" x14ac:dyDescent="0.25">
      <c r="A13" s="665"/>
      <c r="B13" s="665"/>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c r="L13" s="39">
        <f>$D13+$D13*Quantitative_assumption_rates!L16</f>
        <v>0.5625</v>
      </c>
      <c r="M13" s="39">
        <f>$D13+$D13*Quantitative_assumption_rates!M16</f>
        <v>0.5625</v>
      </c>
      <c r="N13" s="39">
        <f>$D13+$D13*Quantitative_assumption_rates!N16</f>
        <v>0.5625</v>
      </c>
      <c r="O13" s="39">
        <f>$D13+$D13*Quantitative_assumption_rates!O16</f>
        <v>0.9375</v>
      </c>
    </row>
    <row r="14" spans="1:15" s="358" customFormat="1" x14ac:dyDescent="0.25">
      <c r="A14" s="665"/>
      <c r="B14" s="665"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c r="L14" s="39">
        <f>$D14+$D14*Quantitative_assumption_rates!L18</f>
        <v>1.25</v>
      </c>
      <c r="M14" s="39">
        <f>$D14+$D14*Quantitative_assumption_rates!M18</f>
        <v>0.625</v>
      </c>
      <c r="N14" s="39">
        <f>$D14+$D14*Quantitative_assumption_rates!N18</f>
        <v>1.25</v>
      </c>
      <c r="O14" s="39">
        <f>$D14+$D14*Quantitative_assumption_rates!O18</f>
        <v>0.625</v>
      </c>
    </row>
    <row r="15" spans="1:15" x14ac:dyDescent="0.25">
      <c r="A15" s="665"/>
      <c r="B15" s="665"/>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c r="L15" s="39">
        <f>$D15+$D15*Quantitative_assumption_rates!L19</f>
        <v>5</v>
      </c>
      <c r="M15" s="39">
        <f>$D15+$D15*Quantitative_assumption_rates!M19</f>
        <v>7.5</v>
      </c>
      <c r="N15" s="39">
        <f>$D15+$D15*Quantitative_assumption_rates!N19</f>
        <v>5</v>
      </c>
      <c r="O15" s="39">
        <f>$D15+$D15*Quantitative_assumption_rates!O19</f>
        <v>7.5</v>
      </c>
    </row>
    <row r="16" spans="1:15" x14ac:dyDescent="0.25">
      <c r="A16" s="659"/>
      <c r="B16" s="665"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c r="L16" s="39">
        <f>$D16+$D16*Quantitative_assumption_rates!L21</f>
        <v>1.25</v>
      </c>
      <c r="M16" s="39">
        <f>$D16+$D16*Quantitative_assumption_rates!M21</f>
        <v>1.25</v>
      </c>
      <c r="N16" s="39">
        <f>$D16+$D16*Quantitative_assumption_rates!N21</f>
        <v>0.75</v>
      </c>
      <c r="O16" s="39">
        <f>$D16+$D16*Quantitative_assumption_rates!O21</f>
        <v>0.75</v>
      </c>
    </row>
    <row r="17" spans="1:15" x14ac:dyDescent="0.25">
      <c r="A17" s="659"/>
      <c r="B17" s="665"/>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c r="L17" s="39">
        <f>$D17+$D17*Quantitative_assumption_rates!L22</f>
        <v>1</v>
      </c>
      <c r="M17" s="39">
        <f>$D17+$D17*Quantitative_assumption_rates!M22</f>
        <v>1</v>
      </c>
      <c r="N17" s="39">
        <f>$D17+$D17*Quantitative_assumption_rates!N22</f>
        <v>3</v>
      </c>
      <c r="O17" s="39">
        <f>$D17+$D17*Quantitative_assumption_rates!O22</f>
        <v>3</v>
      </c>
    </row>
    <row r="18" spans="1:15" x14ac:dyDescent="0.25">
      <c r="A18" s="659"/>
      <c r="B18" s="665"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c r="L18" s="39">
        <f>$D18+$D18*Quantitative_assumption_rates!L24</f>
        <v>1.5E-6</v>
      </c>
      <c r="M18" s="39">
        <f>$D18+$D18*Quantitative_assumption_rates!M24</f>
        <v>2.4999999999999998E-6</v>
      </c>
      <c r="N18" s="39">
        <f>$D18+$D18*Quantitative_assumption_rates!N24</f>
        <v>1.5E-6</v>
      </c>
      <c r="O18" s="39">
        <f>$D18+$D18*Quantitative_assumption_rates!O24</f>
        <v>2.4999999999999998E-6</v>
      </c>
    </row>
    <row r="19" spans="1:15" x14ac:dyDescent="0.25">
      <c r="A19" s="659"/>
      <c r="B19" s="665"/>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c r="L19" s="39">
        <f>$D19+$D19*Quantitative_assumption_rates!L25</f>
        <v>0.75</v>
      </c>
      <c r="M19" s="39">
        <f>$D19+$D19*Quantitative_assumption_rates!M25</f>
        <v>0.75</v>
      </c>
      <c r="N19" s="39">
        <f>$D19+$D19*Quantitative_assumption_rates!N25</f>
        <v>0.44999999999999996</v>
      </c>
      <c r="O19" s="39">
        <f>$D19+$D19*Quantitative_assumption_rates!O25</f>
        <v>0.44999999999999996</v>
      </c>
    </row>
    <row r="20" spans="1:15" x14ac:dyDescent="0.25">
      <c r="A20" s="659"/>
      <c r="B20" s="665"/>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c r="L20" s="39">
        <f>$D20+$D20*Quantitative_assumption_rates!L26</f>
        <v>0.67500000000000004</v>
      </c>
      <c r="M20" s="39">
        <f>$D20+$D20*Quantitative_assumption_rates!M26</f>
        <v>0.67500000000000004</v>
      </c>
      <c r="N20" s="39">
        <f>$D20+$D20*Quantitative_assumption_rates!N26</f>
        <v>0.40500000000000003</v>
      </c>
      <c r="O20" s="39">
        <f>$D20+$D20*Quantitative_assumption_rates!O26</f>
        <v>0.40500000000000003</v>
      </c>
    </row>
    <row r="21" spans="1:15" x14ac:dyDescent="0.25">
      <c r="A21" s="659"/>
      <c r="B21" s="665"/>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c r="L21" s="39">
        <f>$D21+$D21*Quantitative_assumption_rates!L27</f>
        <v>1.1125</v>
      </c>
      <c r="M21" s="39">
        <f>$D21+$D21*Quantitative_assumption_rates!M27</f>
        <v>1.1125</v>
      </c>
      <c r="N21" s="39">
        <f>$D21+$D21*Quantitative_assumption_rates!N27</f>
        <v>0.66749999999999998</v>
      </c>
      <c r="O21" s="39">
        <f>$D21+$D21*Quantitative_assumption_rates!O27</f>
        <v>0.66749999999999998</v>
      </c>
    </row>
    <row r="22" spans="1:15" x14ac:dyDescent="0.25">
      <c r="A22" s="659"/>
      <c r="B22" s="665"/>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c r="L22" s="39">
        <f>$D22+$D22*Quantitative_assumption_rates!L28</f>
        <v>0.75</v>
      </c>
      <c r="M22" s="39">
        <f>$D22+$D22*Quantitative_assumption_rates!M28</f>
        <v>0.75</v>
      </c>
      <c r="N22" s="39">
        <f>$D22+$D22*Quantitative_assumption_rates!N28</f>
        <v>1.25</v>
      </c>
      <c r="O22" s="39">
        <f>$D22+$D22*Quantitative_assumption_rates!O28</f>
        <v>1.25</v>
      </c>
    </row>
    <row r="23" spans="1:15" x14ac:dyDescent="0.25">
      <c r="A23" s="659"/>
      <c r="B23" s="665"/>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c r="L23" s="39">
        <f>$D23+$D23*Quantitative_assumption_rates!L29</f>
        <v>1</v>
      </c>
      <c r="M23" s="39">
        <f>$D23+$D23*Quantitative_assumption_rates!M29</f>
        <v>1</v>
      </c>
      <c r="N23" s="39">
        <f>$D23+$D23*Quantitative_assumption_rates!N29</f>
        <v>0.8</v>
      </c>
      <c r="O23" s="39">
        <f>$D23+$D23*Quantitative_assumption_rates!O29</f>
        <v>0.8</v>
      </c>
    </row>
    <row r="24" spans="1:15" s="358" customFormat="1" ht="14.25" customHeight="1" x14ac:dyDescent="0.25">
      <c r="A24" s="659"/>
      <c r="B24" s="665"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c r="L24" s="39">
        <f>$D24+$D24*Quantitative_assumption_rates!L31</f>
        <v>10</v>
      </c>
      <c r="M24" s="39">
        <f>$D24+$D24*Quantitative_assumption_rates!M31</f>
        <v>10</v>
      </c>
      <c r="N24" s="39">
        <f>$D24+$D24*Quantitative_assumption_rates!N31</f>
        <v>10</v>
      </c>
      <c r="O24" s="39">
        <f>$D24+$D24*Quantitative_assumption_rates!O31</f>
        <v>10</v>
      </c>
    </row>
    <row r="25" spans="1:15" s="358" customFormat="1" x14ac:dyDescent="0.25">
      <c r="A25" s="659"/>
      <c r="B25" s="665"/>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c r="L25" s="39">
        <f>$D25+$D25*Quantitative_assumption_rates!L32</f>
        <v>4.9000000000000002E-2</v>
      </c>
      <c r="M25" s="39">
        <f>$D25+$D25*Quantitative_assumption_rates!M32</f>
        <v>4.9000000000000002E-2</v>
      </c>
      <c r="N25" s="39">
        <f>$D25+$D25*Quantitative_assumption_rates!N32</f>
        <v>9.8000000000000004E-2</v>
      </c>
      <c r="O25" s="39">
        <f>$D25+$D25*Quantitative_assumption_rates!O32</f>
        <v>4.9000000000000002E-2</v>
      </c>
    </row>
    <row r="26" spans="1:15" s="358" customFormat="1" x14ac:dyDescent="0.25">
      <c r="A26" s="659"/>
      <c r="B26" s="665"/>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c r="L26" s="39">
        <f>$D26+$D26*Quantitative_assumption_rates!L33</f>
        <v>1.5E-11</v>
      </c>
      <c r="M26" s="39">
        <f>$D26+$D26*Quantitative_assumption_rates!M33</f>
        <v>1.5E-11</v>
      </c>
      <c r="N26" s="39">
        <f>$D26+$D26*Quantitative_assumption_rates!N33</f>
        <v>3E-11</v>
      </c>
      <c r="O26" s="39">
        <f>$D26+$D26*Quantitative_assumption_rates!O33</f>
        <v>1.5E-11</v>
      </c>
    </row>
    <row r="27" spans="1:15" s="358" customFormat="1" x14ac:dyDescent="0.25">
      <c r="A27" s="659"/>
      <c r="B27" s="665"/>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c r="L27" s="39">
        <f>$D27+$D27*Quantitative_assumption_rates!L34</f>
        <v>1.4E-11</v>
      </c>
      <c r="M27" s="39">
        <f>$D27+$D27*Quantitative_assumption_rates!M34</f>
        <v>1.4E-11</v>
      </c>
      <c r="N27" s="39">
        <f>$D27+$D27*Quantitative_assumption_rates!N34</f>
        <v>2.8E-11</v>
      </c>
      <c r="O27" s="39">
        <f>$D27+$D27*Quantitative_assumption_rates!O34</f>
        <v>1.4E-11</v>
      </c>
    </row>
    <row r="28" spans="1:15" s="358" customFormat="1" x14ac:dyDescent="0.25">
      <c r="A28" s="659"/>
      <c r="B28" s="665"/>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c r="L28" s="39">
        <f>$D28+$D28*Quantitative_assumption_rates!L35</f>
        <v>0.01</v>
      </c>
      <c r="M28" s="39">
        <f>$D28+$D28*Quantitative_assumption_rates!M35</f>
        <v>0.01</v>
      </c>
      <c r="N28" s="39">
        <f>$D28+$D28*Quantitative_assumption_rates!N35</f>
        <v>0.03</v>
      </c>
      <c r="O28" s="39">
        <f>$D28+$D28*Quantitative_assumption_rates!O35</f>
        <v>0.03</v>
      </c>
    </row>
    <row r="29" spans="1:15" s="358" customFormat="1" x14ac:dyDescent="0.25">
      <c r="A29" s="659"/>
      <c r="B29" s="665"/>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c r="L29" s="39">
        <f>$D29+$D29*Quantitative_assumption_rates!L36</f>
        <v>0.9900000000000001</v>
      </c>
      <c r="M29" s="39">
        <f>$D29+$D29*Quantitative_assumption_rates!M36</f>
        <v>0.9900000000000001</v>
      </c>
      <c r="N29" s="39">
        <f>$D29+$D29*Quantitative_assumption_rates!N36</f>
        <v>1.375</v>
      </c>
      <c r="O29" s="39">
        <f>$D29+$D29*Quantitative_assumption_rates!O36</f>
        <v>1.375</v>
      </c>
    </row>
    <row r="30" spans="1:15" s="358" customFormat="1" x14ac:dyDescent="0.25">
      <c r="A30" s="659"/>
      <c r="B30" s="665"/>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c r="L30" s="39">
        <f>$D30+$D30*Quantitative_assumption_rates!L37</f>
        <v>9</v>
      </c>
      <c r="M30" s="39">
        <f>$D30+$D30*Quantitative_assumption_rates!M37</f>
        <v>9</v>
      </c>
      <c r="N30" s="39">
        <f>$D30+$D30*Quantitative_assumption_rates!N37</f>
        <v>6</v>
      </c>
      <c r="O30" s="39">
        <f>$D30+$D30*Quantitative_assumption_rates!O37</f>
        <v>6</v>
      </c>
    </row>
    <row r="31" spans="1:15" s="358" customFormat="1" x14ac:dyDescent="0.25">
      <c r="A31" s="659"/>
      <c r="B31" s="665"/>
      <c r="C31" s="51" t="s">
        <v>1060</v>
      </c>
      <c r="D31" s="59">
        <v>0</v>
      </c>
      <c r="E31" s="66">
        <v>1</v>
      </c>
      <c r="F31" s="66">
        <v>0</v>
      </c>
      <c r="G31" s="66">
        <v>0</v>
      </c>
      <c r="H31" s="66">
        <v>1</v>
      </c>
      <c r="I31" s="66">
        <v>1</v>
      </c>
      <c r="J31" s="66">
        <v>0</v>
      </c>
      <c r="K31" s="66">
        <v>1</v>
      </c>
      <c r="L31" s="66">
        <v>0</v>
      </c>
      <c r="M31" s="66">
        <v>0</v>
      </c>
      <c r="N31" s="66">
        <v>1</v>
      </c>
      <c r="O31" s="66">
        <v>1</v>
      </c>
    </row>
    <row r="32" spans="1:15" x14ac:dyDescent="0.25">
      <c r="A32" s="659"/>
      <c r="B32" s="665"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c r="L32" s="39">
        <f>$D32+$D32*Quantitative_assumption_rates!L40</f>
        <v>0.02</v>
      </c>
      <c r="M32" s="39">
        <f>$D32+$D32*Quantitative_assumption_rates!M40</f>
        <v>0.06</v>
      </c>
      <c r="N32" s="39">
        <f>$D32+$D32*Quantitative_assumption_rates!N40</f>
        <v>0.02</v>
      </c>
      <c r="O32" s="39">
        <f>$D32+$D32*Quantitative_assumption_rates!O40</f>
        <v>0.02</v>
      </c>
    </row>
    <row r="33" spans="1:15" x14ac:dyDescent="0.25">
      <c r="A33" s="659"/>
      <c r="B33" s="665"/>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c r="L33" s="39">
        <f>$D33+$D33*Quantitative_assumption_rates!L41</f>
        <v>0.02</v>
      </c>
      <c r="M33" s="39">
        <f>$D33+$D33*Quantitative_assumption_rates!M41</f>
        <v>0.06</v>
      </c>
      <c r="N33" s="39">
        <f>$D33+$D33*Quantitative_assumption_rates!N41</f>
        <v>0.02</v>
      </c>
      <c r="O33" s="39">
        <f>$D33+$D33*Quantitative_assumption_rates!O41</f>
        <v>0.02</v>
      </c>
    </row>
    <row r="34" spans="1:15" x14ac:dyDescent="0.25">
      <c r="A34" s="659"/>
      <c r="B34" s="665"/>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c r="L34" s="39">
        <f>$D34+$D34*Quantitative_assumption_rates!L42</f>
        <v>0.02</v>
      </c>
      <c r="M34" s="39">
        <f>$D34+$D34*Quantitative_assumption_rates!M42</f>
        <v>0.06</v>
      </c>
      <c r="N34" s="39">
        <f>$D34+$D34*Quantitative_assumption_rates!N42</f>
        <v>0.02</v>
      </c>
      <c r="O34" s="39">
        <f>$D34+$D34*Quantitative_assumption_rates!O42</f>
        <v>0.02</v>
      </c>
    </row>
    <row r="35" spans="1:15" x14ac:dyDescent="0.25">
      <c r="A35" s="659"/>
      <c r="B35" s="665"/>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c r="L35" s="39">
        <f>$D35+$D35*Quantitative_assumption_rates!L43</f>
        <v>375000000000</v>
      </c>
      <c r="M35" s="39">
        <f>$D35+$D35*Quantitative_assumption_rates!M43</f>
        <v>375000000000</v>
      </c>
      <c r="N35" s="39">
        <f>$D35+$D35*Quantitative_assumption_rates!N43</f>
        <v>375000000000</v>
      </c>
      <c r="O35" s="39">
        <f>$D35+$D35*Quantitative_assumption_rates!O43</f>
        <v>625000000000</v>
      </c>
    </row>
    <row r="36" spans="1:15" x14ac:dyDescent="0.25">
      <c r="A36" s="659"/>
      <c r="B36" s="665"/>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c r="L36" s="39">
        <f>$D36+$D36*Quantitative_assumption_rates!L44</f>
        <v>2.5</v>
      </c>
      <c r="M36" s="39">
        <f>$D36+$D36*Quantitative_assumption_rates!M44</f>
        <v>2.5</v>
      </c>
      <c r="N36" s="39">
        <f>$D36+$D36*Quantitative_assumption_rates!N44</f>
        <v>2.5</v>
      </c>
      <c r="O36" s="39">
        <f>$D36+$D36*Quantitative_assumption_rates!O44</f>
        <v>7.5</v>
      </c>
    </row>
    <row r="37" spans="1:15" x14ac:dyDescent="0.25">
      <c r="A37" s="659"/>
      <c r="B37" s="665"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c r="L37" s="39">
        <f>$D37+$D37*Quantitative_assumption_rates!L46</f>
        <v>500000</v>
      </c>
      <c r="M37" s="39">
        <f>$D37+$D37*Quantitative_assumption_rates!M46</f>
        <v>600000</v>
      </c>
      <c r="N37" s="39">
        <f>$D37+$D37*Quantitative_assumption_rates!N46</f>
        <v>200000</v>
      </c>
      <c r="O37" s="39">
        <f>$D37+$D37*Quantitative_assumption_rates!O46</f>
        <v>200000</v>
      </c>
    </row>
    <row r="38" spans="1:15" x14ac:dyDescent="0.25">
      <c r="A38" s="659"/>
      <c r="B38" s="665"/>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c r="L38" s="39">
        <f>$D38+$D38*Quantitative_assumption_rates!L47</f>
        <v>1000000000</v>
      </c>
      <c r="M38" s="39">
        <f>$D38+$D38*Quantitative_assumption_rates!M47</f>
        <v>500000000</v>
      </c>
      <c r="N38" s="39">
        <f>$D38+$D38*Quantitative_assumption_rates!N47</f>
        <v>1000000000</v>
      </c>
      <c r="O38" s="39">
        <f>$D38+$D38*Quantitative_assumption_rates!O47</f>
        <v>1000000000</v>
      </c>
    </row>
    <row r="39" spans="1:15" x14ac:dyDescent="0.25">
      <c r="A39" s="659"/>
      <c r="B39" s="665"/>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c r="L39" s="39">
        <f>$D39+$D39*Quantitative_assumption_rates!L48</f>
        <v>10</v>
      </c>
      <c r="M39" s="39">
        <f>$D39+$D39*Quantitative_assumption_rates!M48</f>
        <v>15</v>
      </c>
      <c r="N39" s="39">
        <f>$D39+$D39*Quantitative_assumption_rates!N48</f>
        <v>5</v>
      </c>
      <c r="O39" s="39">
        <f>$D39+$D39*Quantitative_assumption_rates!O48</f>
        <v>5</v>
      </c>
    </row>
    <row r="40" spans="1:15" x14ac:dyDescent="0.25">
      <c r="A40" s="659"/>
      <c r="B40" s="665"/>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c r="L40" s="39">
        <f>$D40+$D40*Quantitative_assumption_rates!L49</f>
        <v>20</v>
      </c>
      <c r="M40" s="39">
        <f>$D40+$D40*Quantitative_assumption_rates!M49</f>
        <v>30</v>
      </c>
      <c r="N40" s="39">
        <f>$D40+$D40*Quantitative_assumption_rates!N49</f>
        <v>10</v>
      </c>
      <c r="O40" s="39">
        <f>$D40+$D40*Quantitative_assumption_rates!O49</f>
        <v>10</v>
      </c>
    </row>
    <row r="41" spans="1:15" x14ac:dyDescent="0.25">
      <c r="A41" s="659"/>
      <c r="B41" s="665"/>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c r="L41" s="39">
        <f>$D41+$D41*Quantitative_assumption_rates!L50</f>
        <v>30000000</v>
      </c>
      <c r="M41" s="39">
        <f>$D41+$D41*Quantitative_assumption_rates!M50</f>
        <v>45000000</v>
      </c>
      <c r="N41" s="39">
        <f>$D41+$D41*Quantitative_assumption_rates!N50</f>
        <v>15000000</v>
      </c>
      <c r="O41" s="39">
        <f>$D41+$D41*Quantitative_assumption_rates!O50</f>
        <v>15000000</v>
      </c>
    </row>
    <row r="42" spans="1:15" ht="28.5" customHeight="1" x14ac:dyDescent="0.25">
      <c r="A42" s="659"/>
      <c r="B42" s="665"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c r="L42" s="39">
        <f>$D42+$D42*Quantitative_assumption_rates!L51</f>
        <v>11250000000</v>
      </c>
      <c r="M42" s="39">
        <f>$D42+$D42*Quantitative_assumption_rates!M51</f>
        <v>11250000000</v>
      </c>
      <c r="N42" s="39">
        <f>$D42+$D42*Quantitative_assumption_rates!N51</f>
        <v>3750000000</v>
      </c>
      <c r="O42" s="39">
        <f>$D42+$D42*Quantitative_assumption_rates!O51</f>
        <v>3750000000</v>
      </c>
    </row>
    <row r="43" spans="1:15" x14ac:dyDescent="0.25">
      <c r="A43" s="659"/>
      <c r="B43" s="665"/>
      <c r="C43" s="50" t="s">
        <v>1061</v>
      </c>
      <c r="D43" s="59">
        <v>0</v>
      </c>
      <c r="E43" s="66">
        <v>1</v>
      </c>
      <c r="F43" s="66">
        <v>0</v>
      </c>
      <c r="G43" s="66">
        <v>0</v>
      </c>
      <c r="H43" s="66">
        <v>1</v>
      </c>
      <c r="I43" s="66">
        <v>1</v>
      </c>
      <c r="J43" s="66">
        <v>0</v>
      </c>
      <c r="K43" s="66">
        <v>1</v>
      </c>
      <c r="L43" s="66">
        <v>0</v>
      </c>
      <c r="M43" s="66">
        <v>0</v>
      </c>
      <c r="N43" s="66">
        <v>1</v>
      </c>
      <c r="O43" s="66">
        <v>1</v>
      </c>
    </row>
    <row r="44" spans="1:15" s="358" customFormat="1" x14ac:dyDescent="0.25">
      <c r="A44" s="659"/>
      <c r="B44" s="665" t="s">
        <v>288</v>
      </c>
      <c r="C44" s="52" t="s">
        <v>88</v>
      </c>
      <c r="D44" s="58">
        <v>0.95</v>
      </c>
      <c r="E44" s="39">
        <f>$D44+$D44*Quantitative_assumption_rates!E54</f>
        <v>0.85499999999999998</v>
      </c>
      <c r="F44" s="39">
        <f>$D44+$D44*Quantitative_assumption_rates!F54</f>
        <v>0.95</v>
      </c>
      <c r="G44" s="39">
        <f>$D44+$D44*Quantitative_assumption_rates!G54</f>
        <v>0.95949999999999991</v>
      </c>
      <c r="H44" s="39">
        <f>$D44+$D44*Quantitative_assumption_rates!H54</f>
        <v>0.85499999999999998</v>
      </c>
      <c r="I44" s="39">
        <f t="shared" si="0"/>
        <v>0.90724999999999989</v>
      </c>
      <c r="J44" s="39">
        <f>$D44+$D44*Quantitative_assumption_rates!J54</f>
        <v>0.95949999999999991</v>
      </c>
      <c r="K44" s="39">
        <f>$D44+$D44*Quantitative_assumption_rates!K54</f>
        <v>0.95949999999999991</v>
      </c>
      <c r="L44" s="39">
        <f>$D44+$D44*Quantitative_assumption_rates!L54</f>
        <v>0.95949999999999991</v>
      </c>
      <c r="M44" s="39">
        <f>$D44+$D44*Quantitative_assumption_rates!M54</f>
        <v>0.95949999999999991</v>
      </c>
      <c r="N44" s="39">
        <f>$D44+$D44*Quantitative_assumption_rates!N54</f>
        <v>0.85499999999999998</v>
      </c>
      <c r="O44" s="39">
        <f>$D44+$D44*Quantitative_assumption_rates!O54</f>
        <v>0.85499999999999998</v>
      </c>
    </row>
    <row r="45" spans="1:15" s="358" customFormat="1" x14ac:dyDescent="0.25">
      <c r="A45" s="659"/>
      <c r="B45" s="665"/>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c r="L45" s="39">
        <f>$D45+$D45*Quantitative_assumption_rates!L55</f>
        <v>4.5</v>
      </c>
      <c r="M45" s="39">
        <f>$D45+$D45*Quantitative_assumption_rates!M55</f>
        <v>4.5</v>
      </c>
      <c r="N45" s="39">
        <f>$D45+$D45*Quantitative_assumption_rates!N55</f>
        <v>5.5</v>
      </c>
      <c r="O45" s="39">
        <f>$D45+$D45*Quantitative_assumption_rates!O55</f>
        <v>5.5</v>
      </c>
    </row>
    <row r="46" spans="1:15" x14ac:dyDescent="0.25">
      <c r="A46" s="659"/>
      <c r="B46" s="665"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c r="L46" s="39">
        <f>$D46+$D46*Quantitative_assumption_rates!L57</f>
        <v>3.5000000000000003E-2</v>
      </c>
      <c r="M46" s="39">
        <f>$D46+$D46*Quantitative_assumption_rates!M57</f>
        <v>3.5000000000000003E-2</v>
      </c>
      <c r="N46" s="39">
        <f>$D46+$D46*Quantitative_assumption_rates!N57</f>
        <v>7.0000000000000007E-2</v>
      </c>
      <c r="O46" s="39">
        <f>$D46+$D46*Quantitative_assumption_rates!O57</f>
        <v>0.10500000000000001</v>
      </c>
    </row>
    <row r="47" spans="1:15" x14ac:dyDescent="0.25">
      <c r="A47" s="659"/>
      <c r="B47" s="665"/>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c r="L47" s="39">
        <f>$D47+$D47*Quantitative_assumption_rates!L58</f>
        <v>0.15</v>
      </c>
      <c r="M47" s="39">
        <f>$D47+$D47*Quantitative_assumption_rates!M58</f>
        <v>0.15</v>
      </c>
      <c r="N47" s="39">
        <f>$D47+$D47*Quantitative_assumption_rates!N58</f>
        <v>0.3</v>
      </c>
      <c r="O47" s="39">
        <f>$D47+$D47*Quantitative_assumption_rates!O58</f>
        <v>0.44999999999999996</v>
      </c>
    </row>
    <row r="48" spans="1:15" x14ac:dyDescent="0.25">
      <c r="A48" s="665"/>
      <c r="B48" s="665"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c r="L48" s="39">
        <f>$D48+$D48*Quantitative_assumption_rates!L60</f>
        <v>1.1000000000000001</v>
      </c>
      <c r="M48" s="39">
        <f>$D48+$D48*Quantitative_assumption_rates!M60</f>
        <v>1.1000000000000001</v>
      </c>
      <c r="N48" s="39">
        <f>$D48+$D48*Quantitative_assumption_rates!N60</f>
        <v>0.9</v>
      </c>
      <c r="O48" s="39">
        <f>$D48+$D48*Quantitative_assumption_rates!O60</f>
        <v>0.9</v>
      </c>
    </row>
    <row r="49" spans="1:15" x14ac:dyDescent="0.25">
      <c r="A49" s="665"/>
      <c r="B49" s="665"/>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c r="L49" s="39">
        <f>$D49+$D49*Quantitative_assumption_rates!L61</f>
        <v>1.1000000000000001</v>
      </c>
      <c r="M49" s="39">
        <f>$D49+$D49*Quantitative_assumption_rates!M61</f>
        <v>1.1000000000000001</v>
      </c>
      <c r="N49" s="39">
        <f>$D49+$D49*Quantitative_assumption_rates!N61</f>
        <v>0.9</v>
      </c>
      <c r="O49" s="39">
        <f>$D49+$D49*Quantitative_assumption_rates!O61</f>
        <v>0.9</v>
      </c>
    </row>
    <row r="50" spans="1:15" x14ac:dyDescent="0.25">
      <c r="A50" s="665"/>
      <c r="B50" s="665"/>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c r="L50" s="39">
        <f>$D50+$D50*Quantitative_assumption_rates!L62</f>
        <v>1254.4499999999998</v>
      </c>
      <c r="M50" s="39">
        <f>$D50+$D50*Quantitative_assumption_rates!M62</f>
        <v>2090.75</v>
      </c>
      <c r="N50" s="39">
        <f>$D50+$D50*Quantitative_assumption_rates!N62</f>
        <v>1254.4499999999998</v>
      </c>
      <c r="O50" s="39">
        <f>$D50+$D50*Quantitative_assumption_rates!O62</f>
        <v>1254.4499999999998</v>
      </c>
    </row>
    <row r="51" spans="1:15" x14ac:dyDescent="0.25">
      <c r="A51" s="665"/>
      <c r="B51" s="665"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c r="L51" s="39">
        <f>$D51+$D51*Quantitative_assumption_rates!L63</f>
        <v>0.01</v>
      </c>
      <c r="M51" s="39">
        <f>$D51+$D51*Quantitative_assumption_rates!M63</f>
        <v>1.2500000000000001E-2</v>
      </c>
      <c r="N51" s="39">
        <f>$D51+$D51*Quantitative_assumption_rates!N63</f>
        <v>7.4999999999999997E-3</v>
      </c>
      <c r="O51" s="39">
        <f>$D51+$D51*Quantitative_assumption_rates!O63</f>
        <v>7.4999999999999997E-3</v>
      </c>
    </row>
    <row r="52" spans="1:15" x14ac:dyDescent="0.25">
      <c r="A52" s="665"/>
      <c r="B52" s="665"/>
      <c r="C52" s="50" t="s">
        <v>134</v>
      </c>
      <c r="D52" s="71">
        <v>0</v>
      </c>
      <c r="E52" s="66">
        <v>4</v>
      </c>
      <c r="F52" s="363">
        <v>1</v>
      </c>
      <c r="G52" s="363">
        <v>0</v>
      </c>
      <c r="H52" s="363">
        <v>2</v>
      </c>
      <c r="I52" s="363">
        <v>1</v>
      </c>
      <c r="J52" s="363">
        <v>1</v>
      </c>
      <c r="K52" s="363">
        <v>0</v>
      </c>
      <c r="L52" s="363">
        <v>0</v>
      </c>
      <c r="M52" s="363">
        <v>0</v>
      </c>
      <c r="N52" s="363">
        <v>4</v>
      </c>
      <c r="O52" s="363">
        <v>4</v>
      </c>
    </row>
    <row r="53" spans="1:15" x14ac:dyDescent="0.25">
      <c r="A53" s="36"/>
      <c r="B53" s="36"/>
    </row>
    <row r="54" spans="1:15" x14ac:dyDescent="0.25">
      <c r="A54" s="36"/>
      <c r="B54" s="36"/>
    </row>
    <row r="55" spans="1:15" x14ac:dyDescent="0.25">
      <c r="A55" s="36"/>
      <c r="B55" s="36"/>
    </row>
  </sheetData>
  <mergeCells count="23">
    <mergeCell ref="A48:A52"/>
    <mergeCell ref="B48:B50"/>
    <mergeCell ref="B51:B52"/>
    <mergeCell ref="A37:A43"/>
    <mergeCell ref="B37:B41"/>
    <mergeCell ref="B42:B43"/>
    <mergeCell ref="A44:A47"/>
    <mergeCell ref="B44:B45"/>
    <mergeCell ref="B46:B47"/>
    <mergeCell ref="A16:A23"/>
    <mergeCell ref="B16:B17"/>
    <mergeCell ref="B18:B23"/>
    <mergeCell ref="A24:A36"/>
    <mergeCell ref="B24:B31"/>
    <mergeCell ref="B32:B36"/>
    <mergeCell ref="H1:J1"/>
    <mergeCell ref="L1:M1"/>
    <mergeCell ref="N1:O1"/>
    <mergeCell ref="A3:A15"/>
    <mergeCell ref="B3:B5"/>
    <mergeCell ref="B6:B11"/>
    <mergeCell ref="B12:B13"/>
    <mergeCell ref="B14:B15"/>
  </mergeCells>
  <pageMargins left="0.7" right="0.7" top="0.75" bottom="0.75" header="0.3" footer="0.3"/>
  <pageSetup paperSize="9" orientation="portrait" horizontalDpi="1200" verticalDpi="1200"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zoomScale="80" zoomScaleNormal="80" workbookViewId="0">
      <pane xSplit="3" ySplit="1" topLeftCell="D29" activePane="bottomRight" state="frozen"/>
      <selection pane="topRight" activeCell="C1" sqref="C1"/>
      <selection pane="bottomLeft" activeCell="A2" sqref="A2"/>
      <selection pane="bottomRight" activeCell="H26" sqref="H26"/>
    </sheetView>
  </sheetViews>
  <sheetFormatPr defaultColWidth="9" defaultRowHeight="15" x14ac:dyDescent="0.25"/>
  <cols>
    <col min="1" max="2" width="14.28515625" style="43" customWidth="1"/>
    <col min="3" max="3" width="89.85546875" style="43" customWidth="1"/>
    <col min="4" max="4" width="18" style="30" customWidth="1"/>
    <col min="5" max="5" width="21.85546875" style="30" customWidth="1"/>
    <col min="6" max="6" width="28" style="30" customWidth="1"/>
    <col min="7" max="7" width="23.140625" style="30" customWidth="1"/>
    <col min="8" max="8" width="24.85546875" style="30" customWidth="1"/>
    <col min="9" max="10" width="20.140625" style="30" customWidth="1"/>
    <col min="11" max="11" width="22" style="30" customWidth="1"/>
    <col min="12" max="16384" width="9" style="43"/>
  </cols>
  <sheetData>
    <row r="1" spans="1:11" s="26" customFormat="1" ht="124.9" customHeight="1" x14ac:dyDescent="0.25">
      <c r="A1" s="44"/>
      <c r="B1" s="44"/>
      <c r="C1" s="25" t="s">
        <v>3</v>
      </c>
      <c r="D1" s="30"/>
      <c r="E1" s="85" t="s">
        <v>136</v>
      </c>
      <c r="F1" s="85" t="s">
        <v>137</v>
      </c>
      <c r="G1" s="85" t="s">
        <v>138</v>
      </c>
      <c r="H1" s="670" t="s">
        <v>139</v>
      </c>
      <c r="I1" s="670"/>
      <c r="J1" s="670"/>
      <c r="K1" s="85" t="s">
        <v>140</v>
      </c>
    </row>
    <row r="2" spans="1:11" x14ac:dyDescent="0.25">
      <c r="A2" s="44"/>
      <c r="B2" s="44"/>
      <c r="C2" s="47" t="s">
        <v>158</v>
      </c>
      <c r="D2" s="30" t="s">
        <v>188</v>
      </c>
      <c r="E2" s="30" t="s">
        <v>153</v>
      </c>
      <c r="F2" s="30" t="s">
        <v>153</v>
      </c>
      <c r="G2" s="30" t="s">
        <v>153</v>
      </c>
      <c r="H2" s="30" t="s">
        <v>187</v>
      </c>
      <c r="I2" s="38" t="s">
        <v>153</v>
      </c>
      <c r="J2" s="30" t="s">
        <v>186</v>
      </c>
      <c r="K2" s="30" t="s">
        <v>153</v>
      </c>
    </row>
    <row r="3" spans="1:11" x14ac:dyDescent="0.25">
      <c r="A3" s="665"/>
      <c r="B3" s="665" t="s">
        <v>178</v>
      </c>
      <c r="C3" s="51" t="s">
        <v>7</v>
      </c>
      <c r="D3" s="58">
        <v>0.51500000000000001</v>
      </c>
      <c r="E3" s="39">
        <f>$D3+$D3*Quantitative_assumption_rates!E4</f>
        <v>0.5665</v>
      </c>
      <c r="F3" s="39">
        <f>$D3+$D3*Quantitative_assumption_rates!F4</f>
        <v>0.51500000000000001</v>
      </c>
      <c r="G3" s="39">
        <f>$D3+$D3*Quantitative_assumption_rates!G4</f>
        <v>0.46350000000000002</v>
      </c>
      <c r="H3" s="39">
        <f>$D3+$D3*Quantitative_assumption_rates!H4</f>
        <v>0.5665</v>
      </c>
      <c r="I3" s="39">
        <f>(H3+J3)/2</f>
        <v>0.51500000000000001</v>
      </c>
      <c r="J3" s="39">
        <f>$D3+$D3*Quantitative_assumption_rates!J4</f>
        <v>0.46350000000000002</v>
      </c>
      <c r="K3" s="39">
        <f>$D3+$D3*Quantitative_assumption_rates!K4</f>
        <v>0.5665</v>
      </c>
    </row>
    <row r="4" spans="1:11" x14ac:dyDescent="0.25">
      <c r="A4" s="665"/>
      <c r="B4" s="665"/>
      <c r="C4" s="53" t="s">
        <v>6</v>
      </c>
      <c r="D4" s="58">
        <v>12</v>
      </c>
      <c r="E4" s="39">
        <f>$D4+$D4*Quantitative_assumption_rates!E5</f>
        <v>10.8</v>
      </c>
      <c r="F4" s="39">
        <f>$D4+$D4*Quantitative_assumption_rates!F5</f>
        <v>12</v>
      </c>
      <c r="G4" s="39">
        <f>$D4+$D4*Quantitative_assumption_rates!G5</f>
        <v>13.2</v>
      </c>
      <c r="H4" s="39">
        <f>$D4+$D4*Quantitative_assumption_rates!H5</f>
        <v>10.8</v>
      </c>
      <c r="I4" s="39">
        <f t="shared" ref="I4:I51" si="0">(H4+J4)/2</f>
        <v>12</v>
      </c>
      <c r="J4" s="39">
        <f>$D4+$D4*Quantitative_assumption_rates!J5</f>
        <v>13.2</v>
      </c>
      <c r="K4" s="39">
        <f>$D4+$D4*Quantitative_assumption_rates!K5</f>
        <v>10.8</v>
      </c>
    </row>
    <row r="5" spans="1:11" x14ac:dyDescent="0.25">
      <c r="A5" s="665"/>
      <c r="B5" s="665"/>
      <c r="C5" s="53" t="s">
        <v>5</v>
      </c>
      <c r="D5" s="58">
        <v>28</v>
      </c>
      <c r="E5" s="39">
        <f>$D5+$D5*Quantitative_assumption_rates!E6</f>
        <v>30.8</v>
      </c>
      <c r="F5" s="39">
        <f>$D5+$D5*Quantitative_assumption_rates!F6</f>
        <v>28</v>
      </c>
      <c r="G5" s="39">
        <f>$D5+$D5*Quantitative_assumption_rates!G6</f>
        <v>25.2</v>
      </c>
      <c r="H5" s="39">
        <f>$D5+$D5*Quantitative_assumption_rates!H6</f>
        <v>28</v>
      </c>
      <c r="I5" s="39">
        <f t="shared" si="0"/>
        <v>26.6</v>
      </c>
      <c r="J5" s="39">
        <f>$D5+$D5*Quantitative_assumption_rates!J6</f>
        <v>25.2</v>
      </c>
      <c r="K5" s="39">
        <f>$D5+$D5*Quantitative_assumption_rates!K6</f>
        <v>30.8</v>
      </c>
    </row>
    <row r="6" spans="1:11" s="46" customFormat="1" x14ac:dyDescent="0.25">
      <c r="A6" s="665"/>
      <c r="B6" s="665" t="s">
        <v>179</v>
      </c>
      <c r="C6" s="53" t="s">
        <v>33</v>
      </c>
      <c r="D6" s="59">
        <v>0</v>
      </c>
      <c r="E6" s="59">
        <v>7.5000000000000002E-4</v>
      </c>
      <c r="F6" s="56">
        <v>0</v>
      </c>
      <c r="G6" s="56">
        <v>0</v>
      </c>
      <c r="H6" s="59">
        <v>7.5000000000000002E-4</v>
      </c>
      <c r="I6" s="66">
        <f t="shared" si="0"/>
        <v>7.5000000000000002E-4</v>
      </c>
      <c r="J6" s="59">
        <v>7.5000000000000002E-4</v>
      </c>
      <c r="K6" s="59">
        <v>7.5000000000000002E-4</v>
      </c>
    </row>
    <row r="7" spans="1:11" s="46" customFormat="1" x14ac:dyDescent="0.25">
      <c r="A7" s="665"/>
      <c r="B7" s="665"/>
      <c r="C7" s="53" t="s">
        <v>34</v>
      </c>
      <c r="D7" s="59">
        <v>0</v>
      </c>
      <c r="E7" s="59">
        <v>5.0000000000000001E-4</v>
      </c>
      <c r="F7" s="56">
        <v>0</v>
      </c>
      <c r="G7" s="56">
        <v>0</v>
      </c>
      <c r="H7" s="59">
        <v>5.0000000000000001E-4</v>
      </c>
      <c r="I7" s="66">
        <f t="shared" si="0"/>
        <v>5.0000000000000001E-4</v>
      </c>
      <c r="J7" s="59">
        <v>5.0000000000000001E-4</v>
      </c>
      <c r="K7" s="59">
        <v>5.0000000000000001E-4</v>
      </c>
    </row>
    <row r="8" spans="1:11" s="46" customFormat="1" x14ac:dyDescent="0.25">
      <c r="A8" s="665"/>
      <c r="B8" s="665"/>
      <c r="C8" s="53" t="s">
        <v>35</v>
      </c>
      <c r="D8" s="59">
        <v>0</v>
      </c>
      <c r="E8" s="59">
        <v>2.5000000000000001E-4</v>
      </c>
      <c r="F8" s="56">
        <v>0</v>
      </c>
      <c r="G8" s="59">
        <v>-2E-3</v>
      </c>
      <c r="H8" s="59">
        <v>2.5000000000000001E-4</v>
      </c>
      <c r="I8" s="66">
        <f t="shared" si="0"/>
        <v>1.25E-4</v>
      </c>
      <c r="J8" s="56">
        <v>0</v>
      </c>
      <c r="K8" s="59">
        <v>2.5000000000000001E-4</v>
      </c>
    </row>
    <row r="9" spans="1:11" x14ac:dyDescent="0.25">
      <c r="A9" s="665"/>
      <c r="B9" s="665"/>
      <c r="C9" s="53" t="s">
        <v>36</v>
      </c>
      <c r="D9" s="59">
        <v>0</v>
      </c>
      <c r="E9" s="59">
        <v>5.0000000000000001E-4</v>
      </c>
      <c r="F9" s="56">
        <v>0</v>
      </c>
      <c r="G9" s="59">
        <v>-2E-3</v>
      </c>
      <c r="H9" s="59">
        <v>5.0000000000000001E-4</v>
      </c>
      <c r="I9" s="66">
        <f t="shared" si="0"/>
        <v>2.5000000000000001E-4</v>
      </c>
      <c r="J9" s="56">
        <v>0</v>
      </c>
      <c r="K9" s="59">
        <v>5.0000000000000001E-4</v>
      </c>
    </row>
    <row r="10" spans="1:11" x14ac:dyDescent="0.25">
      <c r="A10" s="665"/>
      <c r="B10" s="665"/>
      <c r="C10" s="53" t="s">
        <v>37</v>
      </c>
      <c r="D10" s="59">
        <v>0</v>
      </c>
      <c r="E10" s="59">
        <v>6.4999999999999997E-3</v>
      </c>
      <c r="F10" s="56">
        <v>0</v>
      </c>
      <c r="G10" s="59">
        <v>-5.0000000000000001E-4</v>
      </c>
      <c r="H10" s="59">
        <v>3.0000000000000001E-3</v>
      </c>
      <c r="I10" s="66">
        <f t="shared" si="0"/>
        <v>1.25E-3</v>
      </c>
      <c r="J10" s="59">
        <v>-5.0000000000000001E-4</v>
      </c>
      <c r="K10" s="59">
        <v>6.4999999999999997E-3</v>
      </c>
    </row>
    <row r="11" spans="1:11" x14ac:dyDescent="0.25">
      <c r="A11" s="665"/>
      <c r="B11" s="665"/>
      <c r="C11" s="53" t="s">
        <v>38</v>
      </c>
      <c r="D11" s="59">
        <v>0</v>
      </c>
      <c r="E11" s="59">
        <v>6.4000000000000003E-3</v>
      </c>
      <c r="F11" s="56">
        <v>0</v>
      </c>
      <c r="G11" s="59">
        <v>-4.4999999999999999E-4</v>
      </c>
      <c r="H11" s="59">
        <v>2E-3</v>
      </c>
      <c r="I11" s="66">
        <f t="shared" si="0"/>
        <v>7.7500000000000008E-4</v>
      </c>
      <c r="J11" s="59">
        <v>-4.4999999999999999E-4</v>
      </c>
      <c r="K11" s="59">
        <v>6.4000000000000003E-3</v>
      </c>
    </row>
    <row r="12" spans="1:11" s="46" customFormat="1" x14ac:dyDescent="0.25">
      <c r="A12" s="665"/>
      <c r="B12" s="665" t="s">
        <v>10</v>
      </c>
      <c r="C12" s="53" t="s">
        <v>39</v>
      </c>
      <c r="D12" s="58">
        <v>0.35</v>
      </c>
      <c r="E12" s="39">
        <f>$D12+$D12*Quantitative_assumption_rates!E15</f>
        <v>0.4375</v>
      </c>
      <c r="F12" s="39">
        <f>$D12+$D12*Quantitative_assumption_rates!F15</f>
        <v>0.35</v>
      </c>
      <c r="G12" s="39">
        <f>$D12+$D12*Quantitative_assumption_rates!G15</f>
        <v>0.26249999999999996</v>
      </c>
      <c r="H12" s="39">
        <f>$D12+$D12*Quantitative_assumption_rates!H15</f>
        <v>0.35</v>
      </c>
      <c r="I12" s="39">
        <f t="shared" si="0"/>
        <v>0.30624999999999997</v>
      </c>
      <c r="J12" s="39">
        <f>$D12+$D12*Quantitative_assumption_rates!J15</f>
        <v>0.26249999999999996</v>
      </c>
      <c r="K12" s="39">
        <f>$D12+$D12*Quantitative_assumption_rates!K15</f>
        <v>0.4375</v>
      </c>
    </row>
    <row r="13" spans="1:11" s="46" customFormat="1" x14ac:dyDescent="0.25">
      <c r="A13" s="665"/>
      <c r="B13" s="665"/>
      <c r="C13" s="53" t="s">
        <v>40</v>
      </c>
      <c r="D13" s="58">
        <v>0.75</v>
      </c>
      <c r="E13" s="39">
        <f>$D13+$D13*Quantitative_assumption_rates!E16</f>
        <v>0.9375</v>
      </c>
      <c r="F13" s="39">
        <f>$D13+$D13*Quantitative_assumption_rates!F16</f>
        <v>0.75</v>
      </c>
      <c r="G13" s="39">
        <f>$D13+$D13*Quantitative_assumption_rates!G16</f>
        <v>0.5625</v>
      </c>
      <c r="H13" s="39">
        <f>$D13+$D13*Quantitative_assumption_rates!H16</f>
        <v>0.75</v>
      </c>
      <c r="I13" s="39">
        <f t="shared" si="0"/>
        <v>0.65625</v>
      </c>
      <c r="J13" s="39">
        <f>$D13+$D13*Quantitative_assumption_rates!J16</f>
        <v>0.5625</v>
      </c>
      <c r="K13" s="39">
        <f>$D13+$D13*Quantitative_assumption_rates!K16</f>
        <v>0.9375</v>
      </c>
    </row>
    <row r="14" spans="1:11" s="46" customFormat="1" x14ac:dyDescent="0.25">
      <c r="A14" s="665"/>
      <c r="B14" s="665" t="s">
        <v>180</v>
      </c>
      <c r="C14" s="52" t="s">
        <v>97</v>
      </c>
      <c r="D14" s="58">
        <v>1.25</v>
      </c>
      <c r="E14" s="39">
        <f>$D14+$D14*Quantitative_assumption_rates!E18</f>
        <v>1.875</v>
      </c>
      <c r="F14" s="39">
        <f>$D14+$D14*Quantitative_assumption_rates!F18</f>
        <v>1.25</v>
      </c>
      <c r="G14" s="39">
        <f>$D14+$D14*Quantitative_assumption_rates!G18</f>
        <v>0.625</v>
      </c>
      <c r="H14" s="39">
        <f>$D14+$D14*Quantitative_assumption_rates!H18</f>
        <v>1.25</v>
      </c>
      <c r="I14" s="39">
        <f t="shared" si="0"/>
        <v>1.5625</v>
      </c>
      <c r="J14" s="39">
        <f>$D14+$D14*Quantitative_assumption_rates!J18</f>
        <v>1.875</v>
      </c>
      <c r="K14" s="39">
        <f>$D14+$D14*Quantitative_assumption_rates!K18</f>
        <v>1.875</v>
      </c>
    </row>
    <row r="15" spans="1:11" x14ac:dyDescent="0.25">
      <c r="A15" s="665"/>
      <c r="B15" s="665"/>
      <c r="C15" s="50" t="s">
        <v>98</v>
      </c>
      <c r="D15" s="58">
        <v>5</v>
      </c>
      <c r="E15" s="39">
        <f>$D15+$D15*Quantitative_assumption_rates!E19</f>
        <v>2.5</v>
      </c>
      <c r="F15" s="39">
        <f>$D15+$D15*Quantitative_assumption_rates!F19</f>
        <v>5</v>
      </c>
      <c r="G15" s="39">
        <f>$D15+$D15*Quantitative_assumption_rates!G19</f>
        <v>7.5</v>
      </c>
      <c r="H15" s="39">
        <f>$D15+$D15*Quantitative_assumption_rates!H19</f>
        <v>5</v>
      </c>
      <c r="I15" s="39">
        <f t="shared" si="0"/>
        <v>3.75</v>
      </c>
      <c r="J15" s="39">
        <f>$D15+$D15*Quantitative_assumption_rates!J19</f>
        <v>2.5</v>
      </c>
      <c r="K15" s="39">
        <f>$D15+$D15*Quantitative_assumption_rates!K19</f>
        <v>2.5</v>
      </c>
    </row>
    <row r="16" spans="1:11" x14ac:dyDescent="0.25">
      <c r="A16" s="659"/>
      <c r="B16" s="665" t="s">
        <v>240</v>
      </c>
      <c r="C16" s="53" t="s">
        <v>50</v>
      </c>
      <c r="D16" s="58">
        <v>1</v>
      </c>
      <c r="E16" s="39">
        <f>$D16+$D16*Quantitative_assumption_rates!E21</f>
        <v>0.75</v>
      </c>
      <c r="F16" s="39">
        <f>$D16+$D16*Quantitative_assumption_rates!F21</f>
        <v>1</v>
      </c>
      <c r="G16" s="39">
        <f>$D16+$D16*Quantitative_assumption_rates!G21</f>
        <v>1.25</v>
      </c>
      <c r="H16" s="39">
        <f>$D16+$D16*Quantitative_assumption_rates!H21</f>
        <v>0.75</v>
      </c>
      <c r="I16" s="39">
        <f t="shared" si="0"/>
        <v>1</v>
      </c>
      <c r="J16" s="39">
        <f>$D16+$D16*Quantitative_assumption_rates!J21</f>
        <v>1.25</v>
      </c>
      <c r="K16" s="39">
        <f>$D16+$D16*Quantitative_assumption_rates!K21</f>
        <v>0.875</v>
      </c>
    </row>
    <row r="17" spans="1:11" x14ac:dyDescent="0.25">
      <c r="A17" s="659"/>
      <c r="B17" s="665"/>
      <c r="C17" s="54" t="s">
        <v>85</v>
      </c>
      <c r="D17" s="58">
        <v>2</v>
      </c>
      <c r="E17" s="39">
        <f>$D17+$D17*Quantitative_assumption_rates!E22</f>
        <v>3</v>
      </c>
      <c r="F17" s="39">
        <f>$D17+$D17*Quantitative_assumption_rates!F22</f>
        <v>2</v>
      </c>
      <c r="G17" s="39">
        <f>$D17+$D17*Quantitative_assumption_rates!G22</f>
        <v>1</v>
      </c>
      <c r="H17" s="39">
        <f>$D17+$D17*Quantitative_assumption_rates!H22</f>
        <v>2</v>
      </c>
      <c r="I17" s="39">
        <f t="shared" si="0"/>
        <v>1.5</v>
      </c>
      <c r="J17" s="39">
        <f>$D17+$D17*Quantitative_assumption_rates!J22</f>
        <v>1</v>
      </c>
      <c r="K17" s="39">
        <f>$D17+$D17*Quantitative_assumption_rates!K22</f>
        <v>1</v>
      </c>
    </row>
    <row r="18" spans="1:11" x14ac:dyDescent="0.25">
      <c r="A18" s="659"/>
      <c r="B18" s="665" t="s">
        <v>181</v>
      </c>
      <c r="C18" s="52" t="s">
        <v>44</v>
      </c>
      <c r="D18" s="58">
        <v>1.9999999999999999E-6</v>
      </c>
      <c r="E18" s="39">
        <f>$D18+$D18*Quantitative_assumption_rates!E24</f>
        <v>2.4999999999999998E-6</v>
      </c>
      <c r="F18" s="39">
        <f>$D18+$D18*Quantitative_assumption_rates!F24</f>
        <v>1.9999999999999999E-6</v>
      </c>
      <c r="G18" s="39">
        <f>$D18+$D18*Quantitative_assumption_rates!G24</f>
        <v>1.5E-6</v>
      </c>
      <c r="H18" s="39">
        <f>$D18+$D18*Quantitative_assumption_rates!H24</f>
        <v>1.9999999999999999E-6</v>
      </c>
      <c r="I18" s="39">
        <f t="shared" si="0"/>
        <v>1.75E-6</v>
      </c>
      <c r="J18" s="39">
        <f>$D18+$D18*Quantitative_assumption_rates!J24</f>
        <v>1.5E-6</v>
      </c>
      <c r="K18" s="39">
        <f>$D18+$D18*Quantitative_assumption_rates!K24</f>
        <v>2.4999999999999998E-6</v>
      </c>
    </row>
    <row r="19" spans="1:11" x14ac:dyDescent="0.25">
      <c r="A19" s="659"/>
      <c r="B19" s="665"/>
      <c r="C19" s="52" t="s">
        <v>45</v>
      </c>
      <c r="D19" s="58">
        <v>0.6</v>
      </c>
      <c r="E19" s="39">
        <f>$D19+$D19*Quantitative_assumption_rates!E25</f>
        <v>0.44999999999999996</v>
      </c>
      <c r="F19" s="39">
        <f>$D19+$D19*Quantitative_assumption_rates!F25</f>
        <v>0.6</v>
      </c>
      <c r="G19" s="39">
        <f>$D19+$D19*Quantitative_assumption_rates!G25</f>
        <v>0.75</v>
      </c>
      <c r="H19" s="39">
        <f>$D19+$D19*Quantitative_assumption_rates!H25</f>
        <v>0.44999999999999996</v>
      </c>
      <c r="I19" s="39">
        <f t="shared" si="0"/>
        <v>0.6</v>
      </c>
      <c r="J19" s="39">
        <f>$D19+$D19*Quantitative_assumption_rates!J25</f>
        <v>0.75</v>
      </c>
      <c r="K19" s="39">
        <f>$D19+$D19*Quantitative_assumption_rates!K25</f>
        <v>0.75</v>
      </c>
    </row>
    <row r="20" spans="1:11" x14ac:dyDescent="0.25">
      <c r="A20" s="659"/>
      <c r="B20" s="665"/>
      <c r="C20" s="52" t="s">
        <v>46</v>
      </c>
      <c r="D20" s="58">
        <v>0.54</v>
      </c>
      <c r="E20" s="39">
        <f>$D20+$D20*Quantitative_assumption_rates!E26</f>
        <v>0.40500000000000003</v>
      </c>
      <c r="F20" s="39">
        <f>$D20+$D20*Quantitative_assumption_rates!F26</f>
        <v>0.54</v>
      </c>
      <c r="G20" s="39">
        <f>$D20+$D20*Quantitative_assumption_rates!G26</f>
        <v>0.67500000000000004</v>
      </c>
      <c r="H20" s="39">
        <f>$D20+$D20*Quantitative_assumption_rates!H26</f>
        <v>0.40500000000000003</v>
      </c>
      <c r="I20" s="39">
        <f t="shared" si="0"/>
        <v>0.54</v>
      </c>
      <c r="J20" s="39">
        <f>$D20+$D20*Quantitative_assumption_rates!J26</f>
        <v>0.67500000000000004</v>
      </c>
      <c r="K20" s="39">
        <f>$D20+$D20*Quantitative_assumption_rates!K26</f>
        <v>0.67500000000000004</v>
      </c>
    </row>
    <row r="21" spans="1:11" x14ac:dyDescent="0.25">
      <c r="A21" s="659"/>
      <c r="B21" s="665"/>
      <c r="C21" s="52" t="s">
        <v>47</v>
      </c>
      <c r="D21" s="58">
        <v>0.89</v>
      </c>
      <c r="E21" s="39">
        <f>$D21+$D21*Quantitative_assumption_rates!E27</f>
        <v>0.66749999999999998</v>
      </c>
      <c r="F21" s="39">
        <f>$D21+$D21*Quantitative_assumption_rates!F27</f>
        <v>0.89</v>
      </c>
      <c r="G21" s="39">
        <f>$D21+$D21*Quantitative_assumption_rates!G27</f>
        <v>1.1125</v>
      </c>
      <c r="H21" s="39">
        <f>$D21+$D21*Quantitative_assumption_rates!H27</f>
        <v>0.66749999999999998</v>
      </c>
      <c r="I21" s="39">
        <f t="shared" si="0"/>
        <v>0.89</v>
      </c>
      <c r="J21" s="39">
        <f>$D21+$D21*Quantitative_assumption_rates!J27</f>
        <v>1.1125</v>
      </c>
      <c r="K21" s="39">
        <f>$D21+$D21*Quantitative_assumption_rates!K27</f>
        <v>1.1125</v>
      </c>
    </row>
    <row r="22" spans="1:11" x14ac:dyDescent="0.25">
      <c r="A22" s="659"/>
      <c r="B22" s="665"/>
      <c r="C22" s="53" t="s">
        <v>48</v>
      </c>
      <c r="D22" s="58">
        <v>1</v>
      </c>
      <c r="E22" s="39">
        <f>$D22+$D22*Quantitative_assumption_rates!E28</f>
        <v>1.25</v>
      </c>
      <c r="F22" s="39">
        <f>$D22+$D22*Quantitative_assumption_rates!F28</f>
        <v>1</v>
      </c>
      <c r="G22" s="39">
        <f>$D22+$D22*Quantitative_assumption_rates!G28</f>
        <v>0.75</v>
      </c>
      <c r="H22" s="39">
        <f>$D22+$D22*Quantitative_assumption_rates!H28</f>
        <v>1.25</v>
      </c>
      <c r="I22" s="39">
        <f t="shared" si="0"/>
        <v>1</v>
      </c>
      <c r="J22" s="39">
        <f>$D22+$D22*Quantitative_assumption_rates!J28</f>
        <v>0.75</v>
      </c>
      <c r="K22" s="39">
        <f>$D22+$D22*Quantitative_assumption_rates!K28</f>
        <v>0.875</v>
      </c>
    </row>
    <row r="23" spans="1:11" x14ac:dyDescent="0.25">
      <c r="A23" s="659"/>
      <c r="B23" s="665"/>
      <c r="C23" s="52" t="s">
        <v>49</v>
      </c>
      <c r="D23" s="58">
        <v>0.8</v>
      </c>
      <c r="E23" s="39">
        <f>$D23+$D23*Quantitative_assumption_rates!E29</f>
        <v>0.8</v>
      </c>
      <c r="F23" s="39">
        <f>$D23+$D23*Quantitative_assumption_rates!F29</f>
        <v>0.8</v>
      </c>
      <c r="G23" s="39">
        <f>$D23+$D23*Quantitative_assumption_rates!G29</f>
        <v>1</v>
      </c>
      <c r="H23" s="39">
        <f>$D23+$D23*Quantitative_assumption_rates!H29</f>
        <v>0.60000000000000009</v>
      </c>
      <c r="I23" s="39">
        <f t="shared" si="0"/>
        <v>0.8</v>
      </c>
      <c r="J23" s="39">
        <f>$D23+$D23*Quantitative_assumption_rates!J29</f>
        <v>1</v>
      </c>
      <c r="K23" s="39">
        <f>$D23+$D23*Quantitative_assumption_rates!K29</f>
        <v>0.8</v>
      </c>
    </row>
    <row r="24" spans="1:11" s="46" customFormat="1" ht="14.25" customHeight="1" x14ac:dyDescent="0.25">
      <c r="A24" s="659"/>
      <c r="B24" s="665" t="s">
        <v>182</v>
      </c>
      <c r="C24" s="54" t="s">
        <v>84</v>
      </c>
      <c r="D24" s="58">
        <v>10</v>
      </c>
      <c r="E24" s="39">
        <f>$D24+$D24*Quantitative_assumption_rates!E31</f>
        <v>10</v>
      </c>
      <c r="F24" s="39">
        <f>$D24+$D24*Quantitative_assumption_rates!F31</f>
        <v>10</v>
      </c>
      <c r="G24" s="39">
        <f>$D24+$D24*Quantitative_assumption_rates!G31</f>
        <v>10</v>
      </c>
      <c r="H24" s="39">
        <f>$D24+$D24*Quantitative_assumption_rates!H31</f>
        <v>10</v>
      </c>
      <c r="I24" s="39">
        <f t="shared" si="0"/>
        <v>10</v>
      </c>
      <c r="J24" s="39">
        <f>$D24+$D24*Quantitative_assumption_rates!J31</f>
        <v>10</v>
      </c>
      <c r="K24" s="39">
        <f>$D24+$D24*Quantitative_assumption_rates!K31</f>
        <v>10</v>
      </c>
    </row>
    <row r="25" spans="1:11" s="46" customFormat="1" x14ac:dyDescent="0.25">
      <c r="A25" s="659"/>
      <c r="B25" s="665"/>
      <c r="C25" s="53" t="s">
        <v>78</v>
      </c>
      <c r="D25" s="58">
        <v>9.8000000000000004E-2</v>
      </c>
      <c r="E25" s="39">
        <f>$D25+$D25*Quantitative_assumption_rates!E32</f>
        <v>9.8000000000000004E-2</v>
      </c>
      <c r="F25" s="39">
        <f>$D25+$D25*Quantitative_assumption_rates!F32</f>
        <v>9.8000000000000004E-2</v>
      </c>
      <c r="G25" s="39">
        <f>$D25+$D25*Quantitative_assumption_rates!G32</f>
        <v>4.9000000000000002E-2</v>
      </c>
      <c r="H25" s="39">
        <f>$D25+$D25*Quantitative_assumption_rates!H32</f>
        <v>9.8000000000000004E-2</v>
      </c>
      <c r="I25" s="39">
        <f t="shared" si="0"/>
        <v>9.8000000000000004E-2</v>
      </c>
      <c r="J25" s="39">
        <f>$D25+$D25*Quantitative_assumption_rates!J32</f>
        <v>9.8000000000000004E-2</v>
      </c>
      <c r="K25" s="39">
        <f>$D25+$D25*Quantitative_assumption_rates!K32</f>
        <v>0.14700000000000002</v>
      </c>
    </row>
    <row r="26" spans="1:11" s="46" customFormat="1" x14ac:dyDescent="0.25">
      <c r="A26" s="659"/>
      <c r="B26" s="665"/>
      <c r="C26" s="52" t="s">
        <v>77</v>
      </c>
      <c r="D26" s="60">
        <v>3E-11</v>
      </c>
      <c r="E26" s="39">
        <f>$D26+$D26*Quantitative_assumption_rates!E33</f>
        <v>3E-11</v>
      </c>
      <c r="F26" s="39">
        <f>$D26+$D26*Quantitative_assumption_rates!F33</f>
        <v>3E-11</v>
      </c>
      <c r="G26" s="39">
        <f>$D26+$D26*Quantitative_assumption_rates!G33</f>
        <v>1.5E-11</v>
      </c>
      <c r="H26" s="39">
        <f>$D26+$D26*Quantitative_assumption_rates!H33</f>
        <v>3E-11</v>
      </c>
      <c r="I26" s="39">
        <f t="shared" si="0"/>
        <v>3E-11</v>
      </c>
      <c r="J26" s="39">
        <f>$D26+$D26*Quantitative_assumption_rates!J33</f>
        <v>3E-11</v>
      </c>
      <c r="K26" s="39">
        <f>$D26+$D26*Quantitative_assumption_rates!K33</f>
        <v>4.5E-11</v>
      </c>
    </row>
    <row r="27" spans="1:11" s="46" customFormat="1" x14ac:dyDescent="0.25">
      <c r="A27" s="659"/>
      <c r="B27" s="665"/>
      <c r="C27" s="52" t="s">
        <v>73</v>
      </c>
      <c r="D27" s="60">
        <v>2.8E-11</v>
      </c>
      <c r="E27" s="39">
        <f>$D27+$D27*Quantitative_assumption_rates!E34</f>
        <v>2.8E-11</v>
      </c>
      <c r="F27" s="39">
        <f>$D27+$D27*Quantitative_assumption_rates!F34</f>
        <v>2.8E-11</v>
      </c>
      <c r="G27" s="39">
        <f>$D27+$D27*Quantitative_assumption_rates!G34</f>
        <v>1.4E-11</v>
      </c>
      <c r="H27" s="39">
        <f>$D27+$D27*Quantitative_assumption_rates!H34</f>
        <v>2.8E-11</v>
      </c>
      <c r="I27" s="39">
        <f t="shared" si="0"/>
        <v>2.8E-11</v>
      </c>
      <c r="J27" s="39">
        <f>$D27+$D27*Quantitative_assumption_rates!J34</f>
        <v>2.8E-11</v>
      </c>
      <c r="K27" s="39">
        <f>$D27+$D27*Quantitative_assumption_rates!K34</f>
        <v>4.1999999999999997E-11</v>
      </c>
    </row>
    <row r="28" spans="1:11" s="46" customFormat="1" x14ac:dyDescent="0.25">
      <c r="A28" s="659"/>
      <c r="B28" s="665"/>
      <c r="C28" s="52" t="s">
        <v>59</v>
      </c>
      <c r="D28" s="58">
        <v>0.02</v>
      </c>
      <c r="E28" s="39">
        <f>$D28+$D28*Quantitative_assumption_rates!E35</f>
        <v>0.03</v>
      </c>
      <c r="F28" s="39">
        <f>$D28+$D28*Quantitative_assumption_rates!F35</f>
        <v>0.02</v>
      </c>
      <c r="G28" s="39">
        <f>$D28+$D28*Quantitative_assumption_rates!G35</f>
        <v>0.01</v>
      </c>
      <c r="H28" s="39">
        <f>$D28+$D28*Quantitative_assumption_rates!H35</f>
        <v>0.03</v>
      </c>
      <c r="I28" s="39">
        <f t="shared" si="0"/>
        <v>0.02</v>
      </c>
      <c r="J28" s="39">
        <f>$D28+$D28*Quantitative_assumption_rates!J35</f>
        <v>0.01</v>
      </c>
      <c r="K28" s="39">
        <f>$D28+$D28*Quantitative_assumption_rates!K35</f>
        <v>0.02</v>
      </c>
    </row>
    <row r="29" spans="1:11" s="46" customFormat="1" x14ac:dyDescent="0.25">
      <c r="A29" s="659"/>
      <c r="B29" s="665"/>
      <c r="C29" s="52" t="s">
        <v>56</v>
      </c>
      <c r="D29" s="58">
        <v>1.1000000000000001</v>
      </c>
      <c r="E29" s="39">
        <f>$D29+$D29*Quantitative_assumption_rates!E36</f>
        <v>1.375</v>
      </c>
      <c r="F29" s="39">
        <f>$D29+$D29*Quantitative_assumption_rates!F36</f>
        <v>1.1000000000000001</v>
      </c>
      <c r="G29" s="39">
        <f>$D29+$D29*Quantitative_assumption_rates!G36</f>
        <v>0.9900000000000001</v>
      </c>
      <c r="H29" s="39">
        <f>$D29+$D29*Quantitative_assumption_rates!H36</f>
        <v>1.375</v>
      </c>
      <c r="I29" s="39">
        <f t="shared" si="0"/>
        <v>1.1825000000000001</v>
      </c>
      <c r="J29" s="39">
        <f>$D29+$D29*Quantitative_assumption_rates!J36</f>
        <v>0.9900000000000001</v>
      </c>
      <c r="K29" s="39">
        <f>$D29+$D29*Quantitative_assumption_rates!K36</f>
        <v>1.1000000000000001</v>
      </c>
    </row>
    <row r="30" spans="1:11" s="46" customFormat="1" x14ac:dyDescent="0.25">
      <c r="A30" s="659"/>
      <c r="B30" s="665"/>
      <c r="C30" s="51" t="s">
        <v>133</v>
      </c>
      <c r="D30" s="58">
        <v>6</v>
      </c>
      <c r="E30" s="39">
        <f>$D30+$D30*Quantitative_assumption_rates!E37</f>
        <v>6</v>
      </c>
      <c r="F30" s="39">
        <f>$D30+$D30*Quantitative_assumption_rates!F37</f>
        <v>6</v>
      </c>
      <c r="G30" s="39">
        <f>$D30+$D30*Quantitative_assumption_rates!G37</f>
        <v>9</v>
      </c>
      <c r="H30" s="39">
        <f>$D30+$D30*Quantitative_assumption_rates!H37</f>
        <v>6</v>
      </c>
      <c r="I30" s="39">
        <f t="shared" si="0"/>
        <v>6</v>
      </c>
      <c r="J30" s="39">
        <f>$D30+$D30*Quantitative_assumption_rates!J37</f>
        <v>6</v>
      </c>
      <c r="K30" s="39">
        <f>$D30+$D30*Quantitative_assumption_rates!K37</f>
        <v>3</v>
      </c>
    </row>
    <row r="31" spans="1:11" s="46" customFormat="1" x14ac:dyDescent="0.25">
      <c r="A31" s="659"/>
      <c r="B31" s="665"/>
      <c r="C31" s="51" t="s">
        <v>1060</v>
      </c>
      <c r="D31" s="59">
        <v>0</v>
      </c>
      <c r="E31" s="66">
        <v>1</v>
      </c>
      <c r="F31" s="66">
        <v>0</v>
      </c>
      <c r="G31" s="66">
        <v>0</v>
      </c>
      <c r="H31" s="66">
        <v>1</v>
      </c>
      <c r="I31" s="66">
        <v>1</v>
      </c>
      <c r="J31" s="66">
        <v>0</v>
      </c>
      <c r="K31" s="66">
        <v>1</v>
      </c>
    </row>
    <row r="32" spans="1:11" x14ac:dyDescent="0.25">
      <c r="A32" s="659"/>
      <c r="B32" s="665" t="s">
        <v>183</v>
      </c>
      <c r="C32" s="52" t="s">
        <v>71</v>
      </c>
      <c r="D32" s="58">
        <v>0.04</v>
      </c>
      <c r="E32" s="39">
        <f>$D32+$D32*Quantitative_assumption_rates!E40</f>
        <v>0.02</v>
      </c>
      <c r="F32" s="39">
        <f>$D32+$D32*Quantitative_assumption_rates!F40</f>
        <v>0.04</v>
      </c>
      <c r="G32" s="39">
        <f>$D32+$D32*Quantitative_assumption_rates!G40</f>
        <v>0.06</v>
      </c>
      <c r="H32" s="39">
        <f>$D32+$D32*Quantitative_assumption_rates!H40</f>
        <v>0.02</v>
      </c>
      <c r="I32" s="39">
        <f t="shared" si="0"/>
        <v>0.04</v>
      </c>
      <c r="J32" s="39">
        <f>$D32+$D32*Quantitative_assumption_rates!J40</f>
        <v>0.06</v>
      </c>
      <c r="K32" s="39">
        <f>$D32+$D32*Quantitative_assumption_rates!K40</f>
        <v>0.06</v>
      </c>
    </row>
    <row r="33" spans="1:11" x14ac:dyDescent="0.25">
      <c r="A33" s="659"/>
      <c r="B33" s="665"/>
      <c r="C33" s="52" t="s">
        <v>75</v>
      </c>
      <c r="D33" s="58">
        <v>0.04</v>
      </c>
      <c r="E33" s="39">
        <f>$D33+$D33*Quantitative_assumption_rates!E41</f>
        <v>0.02</v>
      </c>
      <c r="F33" s="39">
        <f>$D33+$D33*Quantitative_assumption_rates!F41</f>
        <v>0.04</v>
      </c>
      <c r="G33" s="39">
        <f>$D33+$D33*Quantitative_assumption_rates!G41</f>
        <v>0.06</v>
      </c>
      <c r="H33" s="39">
        <f>$D33+$D33*Quantitative_assumption_rates!H41</f>
        <v>0.02</v>
      </c>
      <c r="I33" s="39">
        <f t="shared" si="0"/>
        <v>0.04</v>
      </c>
      <c r="J33" s="39">
        <f>$D33+$D33*Quantitative_assumption_rates!J41</f>
        <v>0.06</v>
      </c>
      <c r="K33" s="39">
        <f>$D33+$D33*Quantitative_assumption_rates!K41</f>
        <v>0.06</v>
      </c>
    </row>
    <row r="34" spans="1:11" x14ac:dyDescent="0.25">
      <c r="A34" s="659"/>
      <c r="B34" s="665"/>
      <c r="C34" s="52" t="s">
        <v>79</v>
      </c>
      <c r="D34" s="58">
        <v>0.04</v>
      </c>
      <c r="E34" s="39">
        <f>$D34+$D34*Quantitative_assumption_rates!E42</f>
        <v>0.02</v>
      </c>
      <c r="F34" s="39">
        <f>$D34+$D34*Quantitative_assumption_rates!F42</f>
        <v>0.04</v>
      </c>
      <c r="G34" s="39">
        <f>$D34+$D34*Quantitative_assumption_rates!G42</f>
        <v>0.06</v>
      </c>
      <c r="H34" s="39">
        <f>$D34+$D34*Quantitative_assumption_rates!H42</f>
        <v>0.02</v>
      </c>
      <c r="I34" s="39">
        <f t="shared" si="0"/>
        <v>0.04</v>
      </c>
      <c r="J34" s="39">
        <f>$D34+$D34*Quantitative_assumption_rates!J42</f>
        <v>0.06</v>
      </c>
      <c r="K34" s="39">
        <f>$D34+$D34*Quantitative_assumption_rates!K42</f>
        <v>0.06</v>
      </c>
    </row>
    <row r="35" spans="1:11" x14ac:dyDescent="0.25">
      <c r="A35" s="659"/>
      <c r="B35" s="665"/>
      <c r="C35" s="52" t="s">
        <v>53</v>
      </c>
      <c r="D35" s="60">
        <v>500000000000</v>
      </c>
      <c r="E35" s="39">
        <f>$D35+$D35*Quantitative_assumption_rates!E43</f>
        <v>625000000000</v>
      </c>
      <c r="F35" s="39">
        <f>$D35+$D35*Quantitative_assumption_rates!F43</f>
        <v>500000000000</v>
      </c>
      <c r="G35" s="39">
        <f>$D35+$D35*Quantitative_assumption_rates!G43</f>
        <v>375000000000</v>
      </c>
      <c r="H35" s="39">
        <f>$D35+$D35*Quantitative_assumption_rates!H43</f>
        <v>625000000000</v>
      </c>
      <c r="I35" s="39">
        <f t="shared" si="0"/>
        <v>625000000000</v>
      </c>
      <c r="J35" s="39">
        <f>$D35+$D35*Quantitative_assumption_rates!J43</f>
        <v>625000000000</v>
      </c>
      <c r="K35" s="39">
        <f>$D35+$D35*Quantitative_assumption_rates!K43</f>
        <v>375000000000</v>
      </c>
    </row>
    <row r="36" spans="1:11" x14ac:dyDescent="0.25">
      <c r="A36" s="659"/>
      <c r="B36" s="665"/>
      <c r="C36" s="51" t="s">
        <v>82</v>
      </c>
      <c r="D36" s="58">
        <v>5</v>
      </c>
      <c r="E36" s="39">
        <f>$D36+$D36*Quantitative_assumption_rates!E44</f>
        <v>7.5</v>
      </c>
      <c r="F36" s="39">
        <f>$D36+$D36*Quantitative_assumption_rates!F44</f>
        <v>5</v>
      </c>
      <c r="G36" s="39">
        <f>$D36+$D36*Quantitative_assumption_rates!G44</f>
        <v>2.5</v>
      </c>
      <c r="H36" s="39">
        <f>$D36+$D36*Quantitative_assumption_rates!H44</f>
        <v>7.5</v>
      </c>
      <c r="I36" s="39">
        <f t="shared" si="0"/>
        <v>7.5</v>
      </c>
      <c r="J36" s="39">
        <f>$D36+$D36*Quantitative_assumption_rates!J44</f>
        <v>7.5</v>
      </c>
      <c r="K36" s="39">
        <f>$D36+$D36*Quantitative_assumption_rates!K44</f>
        <v>2.5</v>
      </c>
    </row>
    <row r="37" spans="1:11" x14ac:dyDescent="0.25">
      <c r="A37" s="665"/>
      <c r="B37" s="665" t="s">
        <v>284</v>
      </c>
      <c r="C37" s="37" t="s">
        <v>171</v>
      </c>
      <c r="D37" s="58">
        <v>400000</v>
      </c>
      <c r="E37" s="39">
        <f>$D37+$D37*Quantitative_assumption_rates!E46</f>
        <v>200000</v>
      </c>
      <c r="F37" s="39">
        <f>$D37+$D37*Quantitative_assumption_rates!F46</f>
        <v>400000</v>
      </c>
      <c r="G37" s="39">
        <f>$D37+$D37*Quantitative_assumption_rates!G46</f>
        <v>500000</v>
      </c>
      <c r="H37" s="39">
        <f>$D37+$D37*Quantitative_assumption_rates!H46</f>
        <v>300000</v>
      </c>
      <c r="I37" s="39">
        <f t="shared" si="0"/>
        <v>350000</v>
      </c>
      <c r="J37" s="39">
        <f>$D37+$D37*Quantitative_assumption_rates!J46</f>
        <v>400000</v>
      </c>
      <c r="K37" s="39">
        <f>$D37+$D37*Quantitative_assumption_rates!K46</f>
        <v>600000</v>
      </c>
    </row>
    <row r="38" spans="1:11" x14ac:dyDescent="0.25">
      <c r="A38" s="665"/>
      <c r="B38" s="665"/>
      <c r="C38" s="51" t="s">
        <v>83</v>
      </c>
      <c r="D38" s="58">
        <v>1000000000</v>
      </c>
      <c r="E38" s="39">
        <f>$D38+$D38*Quantitative_assumption_rates!E47</f>
        <v>1000000000</v>
      </c>
      <c r="F38" s="39">
        <f>$D38+$D38*Quantitative_assumption_rates!F47</f>
        <v>1000000000</v>
      </c>
      <c r="G38" s="39">
        <f>$D38+$D38*Quantitative_assumption_rates!G47</f>
        <v>1500000000</v>
      </c>
      <c r="H38" s="39">
        <f>$D38+$D38*Quantitative_assumption_rates!H47</f>
        <v>1000000000</v>
      </c>
      <c r="I38" s="39">
        <f t="shared" si="0"/>
        <v>1000000000</v>
      </c>
      <c r="J38" s="39">
        <f>$D38+$D38*Quantitative_assumption_rates!J47</f>
        <v>1000000000</v>
      </c>
      <c r="K38" s="39">
        <f>$D38+$D38*Quantitative_assumption_rates!K47</f>
        <v>500000000</v>
      </c>
    </row>
    <row r="39" spans="1:11" x14ac:dyDescent="0.25">
      <c r="A39" s="665"/>
      <c r="B39" s="665"/>
      <c r="C39" s="50" t="s">
        <v>58</v>
      </c>
      <c r="D39" s="58">
        <v>10</v>
      </c>
      <c r="E39" s="39">
        <f>$D39+$D39*Quantitative_assumption_rates!E48</f>
        <v>5</v>
      </c>
      <c r="F39" s="39">
        <f>$D39+$D39*Quantitative_assumption_rates!F48</f>
        <v>10</v>
      </c>
      <c r="G39" s="39">
        <f>$D39+$D39*Quantitative_assumption_rates!G48</f>
        <v>15</v>
      </c>
      <c r="H39" s="39">
        <f>$D39+$D39*Quantitative_assumption_rates!H48</f>
        <v>5</v>
      </c>
      <c r="I39" s="39">
        <f t="shared" si="0"/>
        <v>5</v>
      </c>
      <c r="J39" s="39">
        <f>$D39+$D39*Quantitative_assumption_rates!J48</f>
        <v>5</v>
      </c>
      <c r="K39" s="39">
        <f>$D39+$D39*Quantitative_assumption_rates!K48</f>
        <v>10</v>
      </c>
    </row>
    <row r="40" spans="1:11" x14ac:dyDescent="0.25">
      <c r="A40" s="665"/>
      <c r="B40" s="665"/>
      <c r="C40" s="50" t="s">
        <v>55</v>
      </c>
      <c r="D40" s="58">
        <v>20</v>
      </c>
      <c r="E40" s="39">
        <f>$D40+$D40*Quantitative_assumption_rates!E49</f>
        <v>10</v>
      </c>
      <c r="F40" s="39">
        <f>$D40+$D40*Quantitative_assumption_rates!F49</f>
        <v>20</v>
      </c>
      <c r="G40" s="39">
        <f>$D40+$D40*Quantitative_assumption_rates!G49</f>
        <v>30</v>
      </c>
      <c r="H40" s="39">
        <f>$D40+$D40*Quantitative_assumption_rates!H49</f>
        <v>10</v>
      </c>
      <c r="I40" s="39">
        <f t="shared" si="0"/>
        <v>10</v>
      </c>
      <c r="J40" s="39">
        <f>$D40+$D40*Quantitative_assumption_rates!J49</f>
        <v>10</v>
      </c>
      <c r="K40" s="39">
        <f>$D40+$D40*Quantitative_assumption_rates!K49</f>
        <v>20</v>
      </c>
    </row>
    <row r="41" spans="1:11" x14ac:dyDescent="0.25">
      <c r="A41" s="665"/>
      <c r="B41" s="665"/>
      <c r="C41" s="50" t="s">
        <v>61</v>
      </c>
      <c r="D41" s="58">
        <v>30000000</v>
      </c>
      <c r="E41" s="39">
        <f>$D41+$D41*Quantitative_assumption_rates!E50</f>
        <v>45000000</v>
      </c>
      <c r="F41" s="39">
        <f>$D41+$D41*Quantitative_assumption_rates!F50</f>
        <v>30000000</v>
      </c>
      <c r="G41" s="39">
        <f>$D41+$D41*Quantitative_assumption_rates!G50</f>
        <v>15000000</v>
      </c>
      <c r="H41" s="39">
        <f>$D41+$D41*Quantitative_assumption_rates!H50</f>
        <v>45000000</v>
      </c>
      <c r="I41" s="39">
        <f t="shared" si="0"/>
        <v>30000000</v>
      </c>
      <c r="J41" s="39">
        <f>$D41+$D41*Quantitative_assumption_rates!J50</f>
        <v>15000000</v>
      </c>
      <c r="K41" s="39">
        <f>$D41+$D41*Quantitative_assumption_rates!K50</f>
        <v>30000000</v>
      </c>
    </row>
    <row r="42" spans="1:11" ht="28.5" customHeight="1" x14ac:dyDescent="0.25">
      <c r="A42" s="665"/>
      <c r="B42" s="659" t="s">
        <v>285</v>
      </c>
      <c r="C42" s="50" t="s">
        <v>127</v>
      </c>
      <c r="D42" s="58">
        <v>7500000000</v>
      </c>
      <c r="E42" s="39">
        <f>$D42+$D42*Quantitative_assumption_rates!E51</f>
        <v>3750000000</v>
      </c>
      <c r="F42" s="39">
        <f>$D42+$D42*Quantitative_assumption_rates!F51</f>
        <v>7500000000</v>
      </c>
      <c r="G42" s="39">
        <f>$D42+$D42*Quantitative_assumption_rates!G51</f>
        <v>11250000000</v>
      </c>
      <c r="H42" s="39">
        <f>$D42+$D42*Quantitative_assumption_rates!H51</f>
        <v>7500000000</v>
      </c>
      <c r="I42" s="39">
        <f t="shared" si="0"/>
        <v>9375000000</v>
      </c>
      <c r="J42" s="39">
        <f>$D42+$D42*Quantitative_assumption_rates!J51</f>
        <v>11250000000</v>
      </c>
      <c r="K42" s="39">
        <f>$D42+$D42*Quantitative_assumption_rates!K51</f>
        <v>11250000000</v>
      </c>
    </row>
    <row r="43" spans="1:11" s="308" customFormat="1" x14ac:dyDescent="0.25">
      <c r="A43" s="665"/>
      <c r="B43" s="659"/>
      <c r="C43" s="50" t="s">
        <v>1061</v>
      </c>
      <c r="D43" s="59">
        <v>0</v>
      </c>
      <c r="E43" s="66">
        <v>1</v>
      </c>
      <c r="F43" s="66">
        <v>0</v>
      </c>
      <c r="G43" s="66">
        <v>0</v>
      </c>
      <c r="H43" s="66">
        <v>1</v>
      </c>
      <c r="I43" s="66">
        <v>1</v>
      </c>
      <c r="J43" s="66">
        <v>0</v>
      </c>
      <c r="K43" s="66">
        <v>1</v>
      </c>
    </row>
    <row r="44" spans="1:11" s="46" customFormat="1" x14ac:dyDescent="0.25">
      <c r="A44" s="659"/>
      <c r="B44" s="665" t="s">
        <v>288</v>
      </c>
      <c r="C44" s="52" t="s">
        <v>88</v>
      </c>
      <c r="D44" s="58">
        <v>0.95</v>
      </c>
      <c r="E44" s="39">
        <f>$D44+$D44*Quantitative_assumption_rates!E54</f>
        <v>0.85499999999999998</v>
      </c>
      <c r="F44" s="39">
        <f>$D44+$D44*Quantitative_assumption_rates!F54</f>
        <v>0.95</v>
      </c>
      <c r="G44" s="39">
        <f>$D44+$D44*Quantitative_assumption_rates!G53</f>
        <v>0.95</v>
      </c>
      <c r="H44" s="39">
        <f>$D44+$D44*Quantitative_assumption_rates!H54</f>
        <v>0.85499999999999998</v>
      </c>
      <c r="I44" s="39">
        <f t="shared" si="0"/>
        <v>0.90249999999999997</v>
      </c>
      <c r="J44" s="39">
        <f>$D44+$D44*Quantitative_assumption_rates!J53</f>
        <v>0.95</v>
      </c>
      <c r="K44" s="39">
        <f>$D44+$D44*Quantitative_assumption_rates!K54</f>
        <v>0.95949999999999991</v>
      </c>
    </row>
    <row r="45" spans="1:11" s="46" customFormat="1" x14ac:dyDescent="0.25">
      <c r="A45" s="659"/>
      <c r="B45" s="665"/>
      <c r="C45" s="50" t="s">
        <v>89</v>
      </c>
      <c r="D45" s="58">
        <v>5</v>
      </c>
      <c r="E45" s="39">
        <f>$D45+$D45*Quantitative_assumption_rates!E55</f>
        <v>5.5</v>
      </c>
      <c r="F45" s="39">
        <f>$D45+$D45*Quantitative_assumption_rates!F55</f>
        <v>5</v>
      </c>
      <c r="G45" s="39">
        <f>$D45+$D45*Quantitative_assumption_rates!G55</f>
        <v>4.5</v>
      </c>
      <c r="H45" s="39">
        <f>$D45+$D45*Quantitative_assumption_rates!H55</f>
        <v>5.5</v>
      </c>
      <c r="I45" s="39">
        <f t="shared" si="0"/>
        <v>5</v>
      </c>
      <c r="J45" s="39">
        <f>$D45+$D45*Quantitative_assumption_rates!J55</f>
        <v>4.5</v>
      </c>
      <c r="K45" s="39">
        <f>$D45+$D45*Quantitative_assumption_rates!K55</f>
        <v>4.5</v>
      </c>
    </row>
    <row r="46" spans="1:11" x14ac:dyDescent="0.25">
      <c r="A46" s="659"/>
      <c r="B46" s="665" t="s">
        <v>289</v>
      </c>
      <c r="C46" s="53" t="s">
        <v>109</v>
      </c>
      <c r="D46" s="58">
        <v>7.0000000000000007E-2</v>
      </c>
      <c r="E46" s="39">
        <f>$D46+$D46*Quantitative_assumption_rates!E57</f>
        <v>0.10500000000000001</v>
      </c>
      <c r="F46" s="39">
        <f>$D46+$D46*Quantitative_assumption_rates!F57</f>
        <v>7.0000000000000007E-2</v>
      </c>
      <c r="G46" s="39">
        <f>$D46+$D46*Quantitative_assumption_rates!G57</f>
        <v>3.5000000000000003E-2</v>
      </c>
      <c r="H46" s="39">
        <f>$D46+$D46*Quantitative_assumption_rates!H57</f>
        <v>0.10500000000000001</v>
      </c>
      <c r="I46" s="39">
        <f t="shared" si="0"/>
        <v>7.0000000000000007E-2</v>
      </c>
      <c r="J46" s="39">
        <f>$D46+$D46*Quantitative_assumption_rates!J57</f>
        <v>3.5000000000000003E-2</v>
      </c>
      <c r="K46" s="39">
        <f>$D46+$D46*Quantitative_assumption_rates!K57</f>
        <v>0.10500000000000001</v>
      </c>
    </row>
    <row r="47" spans="1:11" x14ac:dyDescent="0.25">
      <c r="A47" s="659"/>
      <c r="B47" s="665"/>
      <c r="C47" s="52" t="s">
        <v>107</v>
      </c>
      <c r="D47" s="58">
        <v>0.3</v>
      </c>
      <c r="E47" s="39">
        <f>$D47+$D47*Quantitative_assumption_rates!E58</f>
        <v>0.44999999999999996</v>
      </c>
      <c r="F47" s="39">
        <f>$D47+$D47*Quantitative_assumption_rates!F58</f>
        <v>0.3</v>
      </c>
      <c r="G47" s="39">
        <f>$D47+$D47*Quantitative_assumption_rates!G58</f>
        <v>0.15</v>
      </c>
      <c r="H47" s="39">
        <f>$D47+$D47*Quantitative_assumption_rates!H58</f>
        <v>0.44999999999999996</v>
      </c>
      <c r="I47" s="39">
        <f t="shared" si="0"/>
        <v>0.3</v>
      </c>
      <c r="J47" s="39">
        <f>$D47+$D47*Quantitative_assumption_rates!J58</f>
        <v>0.15</v>
      </c>
      <c r="K47" s="39">
        <f>$D47+$D47*Quantitative_assumption_rates!K58</f>
        <v>0.44999999999999996</v>
      </c>
    </row>
    <row r="48" spans="1:11" x14ac:dyDescent="0.25">
      <c r="A48" s="665"/>
      <c r="B48" s="665" t="s">
        <v>286</v>
      </c>
      <c r="C48" s="53" t="s">
        <v>115</v>
      </c>
      <c r="D48" s="58">
        <v>1</v>
      </c>
      <c r="E48" s="39">
        <f>$D48+$D48*Quantitative_assumption_rates!E60</f>
        <v>0.9</v>
      </c>
      <c r="F48" s="39">
        <f>$D48+$D48*Quantitative_assumption_rates!F60</f>
        <v>1</v>
      </c>
      <c r="G48" s="39">
        <f>$D48+$D48*Quantitative_assumption_rates!G60</f>
        <v>1.1000000000000001</v>
      </c>
      <c r="H48" s="39">
        <f>$D48+$D48*Quantitative_assumption_rates!H60</f>
        <v>1</v>
      </c>
      <c r="I48" s="39">
        <f t="shared" si="0"/>
        <v>1</v>
      </c>
      <c r="J48" s="39">
        <f>$D48+$D48*Quantitative_assumption_rates!J60</f>
        <v>1</v>
      </c>
      <c r="K48" s="39">
        <f>$D48+$D48*Quantitative_assumption_rates!K60</f>
        <v>1.1000000000000001</v>
      </c>
    </row>
    <row r="49" spans="1:11" x14ac:dyDescent="0.25">
      <c r="A49" s="665"/>
      <c r="B49" s="665"/>
      <c r="C49" s="53" t="s">
        <v>116</v>
      </c>
      <c r="D49" s="58">
        <v>1</v>
      </c>
      <c r="E49" s="39">
        <f>$D49+$D49*Quantitative_assumption_rates!E61</f>
        <v>0.9</v>
      </c>
      <c r="F49" s="39">
        <f>$D49+$D49*Quantitative_assumption_rates!F61</f>
        <v>1</v>
      </c>
      <c r="G49" s="39">
        <f>$D49+$D49*Quantitative_assumption_rates!G61</f>
        <v>1.1000000000000001</v>
      </c>
      <c r="H49" s="39">
        <f>$D49+$D49*Quantitative_assumption_rates!H61</f>
        <v>1</v>
      </c>
      <c r="I49" s="39">
        <f t="shared" si="0"/>
        <v>1</v>
      </c>
      <c r="J49" s="39">
        <f>$D49+$D49*Quantitative_assumption_rates!J61</f>
        <v>1</v>
      </c>
      <c r="K49" s="39">
        <f>$D49+$D49*Quantitative_assumption_rates!K61</f>
        <v>1.1000000000000001</v>
      </c>
    </row>
    <row r="50" spans="1:11" x14ac:dyDescent="0.25">
      <c r="A50" s="665"/>
      <c r="B50" s="665"/>
      <c r="C50" s="53" t="s">
        <v>120</v>
      </c>
      <c r="D50" s="58">
        <v>1672.6</v>
      </c>
      <c r="E50" s="39">
        <f>$D50+$D50*Quantitative_assumption_rates!E62</f>
        <v>1254.4499999999998</v>
      </c>
      <c r="F50" s="39">
        <f>$D50+$D50*Quantitative_assumption_rates!F62</f>
        <v>1672.6</v>
      </c>
      <c r="G50" s="39">
        <f>$D50+$D50*Quantitative_assumption_rates!G62</f>
        <v>2090.75</v>
      </c>
      <c r="H50" s="39">
        <f>$D50+$D50*Quantitative_assumption_rates!H62</f>
        <v>1672.6</v>
      </c>
      <c r="I50" s="39">
        <f t="shared" si="0"/>
        <v>1672.6</v>
      </c>
      <c r="J50" s="39">
        <f>$D50+$D50*Quantitative_assumption_rates!J62</f>
        <v>1672.6</v>
      </c>
      <c r="K50" s="39">
        <f>$D50+$D50*Quantitative_assumption_rates!K62</f>
        <v>2090.75</v>
      </c>
    </row>
    <row r="51" spans="1:11" x14ac:dyDescent="0.25">
      <c r="A51" s="665"/>
      <c r="B51" s="665" t="s">
        <v>287</v>
      </c>
      <c r="C51" s="53" t="s">
        <v>117</v>
      </c>
      <c r="D51" s="58">
        <v>0.01</v>
      </c>
      <c r="E51" s="39">
        <f>$D51+$D51*Quantitative_assumption_rates!E63</f>
        <v>7.4999999999999997E-3</v>
      </c>
      <c r="F51" s="39">
        <f>$D51+$D51*Quantitative_assumption_rates!F63</f>
        <v>0.01</v>
      </c>
      <c r="G51" s="39">
        <f>$D51+$D51*Quantitative_assumption_rates!G63</f>
        <v>1.2500000000000001E-2</v>
      </c>
      <c r="H51" s="39">
        <f>$D51+$D51*Quantitative_assumption_rates!H63</f>
        <v>0.01</v>
      </c>
      <c r="I51" s="39">
        <f t="shared" si="0"/>
        <v>0.01</v>
      </c>
      <c r="J51" s="39">
        <f>$D51+$D51*Quantitative_assumption_rates!J63</f>
        <v>0.01</v>
      </c>
      <c r="K51" s="39">
        <f>$D51+$D51*Quantitative_assumption_rates!K63</f>
        <v>1.2500000000000001E-2</v>
      </c>
    </row>
    <row r="52" spans="1:11" x14ac:dyDescent="0.25">
      <c r="A52" s="665"/>
      <c r="B52" s="665"/>
      <c r="C52" s="50" t="s">
        <v>134</v>
      </c>
      <c r="D52" s="71">
        <v>0</v>
      </c>
      <c r="E52" s="66">
        <v>4</v>
      </c>
      <c r="F52" s="72">
        <v>1</v>
      </c>
      <c r="G52" s="72">
        <v>0</v>
      </c>
      <c r="H52" s="72">
        <v>2</v>
      </c>
      <c r="I52" s="72">
        <v>1</v>
      </c>
      <c r="J52" s="72">
        <v>1</v>
      </c>
      <c r="K52" s="72">
        <v>0</v>
      </c>
    </row>
    <row r="53" spans="1:11" x14ac:dyDescent="0.25">
      <c r="A53" s="36"/>
      <c r="B53" s="36"/>
    </row>
    <row r="54" spans="1:11" x14ac:dyDescent="0.25">
      <c r="A54" s="36"/>
      <c r="B54" s="36"/>
    </row>
    <row r="55" spans="1:11" x14ac:dyDescent="0.25">
      <c r="A55" s="36"/>
      <c r="B55" s="36"/>
    </row>
  </sheetData>
  <mergeCells count="21">
    <mergeCell ref="H1:J1"/>
    <mergeCell ref="A3:A15"/>
    <mergeCell ref="B3:B5"/>
    <mergeCell ref="B6:B11"/>
    <mergeCell ref="B12:B13"/>
    <mergeCell ref="B14:B15"/>
    <mergeCell ref="A37:A43"/>
    <mergeCell ref="A48:A52"/>
    <mergeCell ref="B48:B50"/>
    <mergeCell ref="B51:B52"/>
    <mergeCell ref="A16:A23"/>
    <mergeCell ref="B16:B17"/>
    <mergeCell ref="B18:B23"/>
    <mergeCell ref="A24:A36"/>
    <mergeCell ref="B32:B36"/>
    <mergeCell ref="B37:B41"/>
    <mergeCell ref="A44:A47"/>
    <mergeCell ref="B44:B45"/>
    <mergeCell ref="B46:B47"/>
    <mergeCell ref="B24:B31"/>
    <mergeCell ref="B42:B43"/>
  </mergeCells>
  <pageMargins left="0.7" right="0.7" top="0.75" bottom="0.75" header="0.3" footer="0.3"/>
  <pageSetup paperSize="9" orientation="portrait" horizontalDpi="1200" verticalDpi="1200"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zoomScale="80" zoomScaleNormal="80" workbookViewId="0">
      <pane xSplit="2" ySplit="1" topLeftCell="C11" activePane="bottomRight" state="frozen"/>
      <selection pane="topRight" activeCell="C1" sqref="C1"/>
      <selection pane="bottomLeft" activeCell="A2" sqref="A2"/>
      <selection pane="bottomRight" activeCell="G2" sqref="G2:G48"/>
    </sheetView>
  </sheetViews>
  <sheetFormatPr defaultColWidth="9" defaultRowHeight="15" x14ac:dyDescent="0.25"/>
  <cols>
    <col min="1" max="3" width="14.28515625" style="515" customWidth="1"/>
    <col min="4" max="4" width="61.42578125" style="515" customWidth="1"/>
    <col min="5" max="5" width="21" style="522" customWidth="1"/>
    <col min="6" max="6" width="20" style="38" bestFit="1" customWidth="1"/>
    <col min="7" max="7" width="22" style="38" customWidth="1"/>
    <col min="8" max="8" width="11.140625" style="515" bestFit="1" customWidth="1"/>
    <col min="9" max="9" width="12" style="515" bestFit="1" customWidth="1"/>
    <col min="10" max="16384" width="9" style="515"/>
  </cols>
  <sheetData>
    <row r="1" spans="1:9" s="512" customFormat="1" ht="124.9" customHeight="1" x14ac:dyDescent="0.25">
      <c r="A1" s="509"/>
      <c r="B1" s="509"/>
      <c r="C1" s="61" t="s">
        <v>3</v>
      </c>
      <c r="D1" s="61" t="s">
        <v>1491</v>
      </c>
      <c r="E1" s="510" t="s">
        <v>465</v>
      </c>
      <c r="F1" s="511" t="s">
        <v>464</v>
      </c>
      <c r="G1" s="511" t="s">
        <v>0</v>
      </c>
      <c r="H1" s="511" t="s">
        <v>1</v>
      </c>
      <c r="I1" s="511" t="s">
        <v>2</v>
      </c>
    </row>
    <row r="2" spans="1:9" x14ac:dyDescent="0.25">
      <c r="A2" s="719"/>
      <c r="B2" s="719" t="s">
        <v>178</v>
      </c>
      <c r="C2" s="513" t="s">
        <v>1445</v>
      </c>
      <c r="D2" s="513" t="s">
        <v>7</v>
      </c>
      <c r="E2" s="513">
        <v>0.05</v>
      </c>
      <c r="F2" s="514">
        <v>0.51500000000000001</v>
      </c>
      <c r="G2" s="39">
        <v>0.51500000000000001</v>
      </c>
      <c r="H2" s="511">
        <f>G2-G2*E2</f>
        <v>0.48925000000000002</v>
      </c>
      <c r="I2" s="511">
        <f>G2+G2*E2</f>
        <v>0.54075000000000006</v>
      </c>
    </row>
    <row r="3" spans="1:9" x14ac:dyDescent="0.25">
      <c r="A3" s="719"/>
      <c r="B3" s="719"/>
      <c r="C3" s="513" t="s">
        <v>1446</v>
      </c>
      <c r="D3" s="513" t="s">
        <v>6</v>
      </c>
      <c r="E3" s="513">
        <v>0.05</v>
      </c>
      <c r="F3" s="514">
        <v>12</v>
      </c>
      <c r="G3" s="39">
        <v>12</v>
      </c>
      <c r="H3" s="511">
        <f>G3-G3*E3</f>
        <v>11.4</v>
      </c>
      <c r="I3" s="511">
        <f>G3+G3*E3</f>
        <v>12.6</v>
      </c>
    </row>
    <row r="4" spans="1:9" x14ac:dyDescent="0.25">
      <c r="A4" s="719"/>
      <c r="B4" s="719"/>
      <c r="C4" s="513" t="s">
        <v>1447</v>
      </c>
      <c r="D4" s="513" t="s">
        <v>5</v>
      </c>
      <c r="E4" s="513">
        <v>0.05</v>
      </c>
      <c r="F4" s="514">
        <v>28</v>
      </c>
      <c r="G4" s="39">
        <v>25.2</v>
      </c>
      <c r="H4" s="511">
        <f>G4-G4*E4</f>
        <v>23.939999999999998</v>
      </c>
      <c r="I4" s="511">
        <f>G4+G4*E4</f>
        <v>26.46</v>
      </c>
    </row>
    <row r="5" spans="1:9" s="519" customFormat="1" x14ac:dyDescent="0.25">
      <c r="A5" s="719"/>
      <c r="B5" s="719" t="s">
        <v>179</v>
      </c>
      <c r="C5" s="516" t="s">
        <v>1448</v>
      </c>
      <c r="D5" s="516" t="s">
        <v>33</v>
      </c>
      <c r="E5" s="516">
        <v>0.15</v>
      </c>
      <c r="F5" s="517">
        <v>0</v>
      </c>
      <c r="G5" s="517">
        <v>0</v>
      </c>
      <c r="H5" s="518">
        <v>-6.3750000000000005E-4</v>
      </c>
      <c r="I5" s="517">
        <v>1.1250000000000001E-4</v>
      </c>
    </row>
    <row r="6" spans="1:9" s="519" customFormat="1" x14ac:dyDescent="0.25">
      <c r="A6" s="719"/>
      <c r="B6" s="719"/>
      <c r="C6" s="516" t="s">
        <v>1449</v>
      </c>
      <c r="D6" s="516" t="s">
        <v>34</v>
      </c>
      <c r="E6" s="516">
        <v>0.15</v>
      </c>
      <c r="F6" s="517">
        <v>0</v>
      </c>
      <c r="G6" s="517">
        <v>0</v>
      </c>
      <c r="H6" s="518">
        <v>-6.7500000000000004E-4</v>
      </c>
      <c r="I6" s="517">
        <v>7.499999999999998E-5</v>
      </c>
    </row>
    <row r="7" spans="1:9" s="519" customFormat="1" x14ac:dyDescent="0.25">
      <c r="A7" s="719"/>
      <c r="B7" s="719"/>
      <c r="C7" s="516" t="s">
        <v>1450</v>
      </c>
      <c r="D7" s="516" t="s">
        <v>35</v>
      </c>
      <c r="E7" s="516">
        <v>0.15</v>
      </c>
      <c r="F7" s="517">
        <v>0</v>
      </c>
      <c r="G7" s="517">
        <v>-2E-3</v>
      </c>
      <c r="H7" s="518">
        <v>-2.3E-3</v>
      </c>
      <c r="I7" s="517">
        <v>-1.7000000000000001E-3</v>
      </c>
    </row>
    <row r="8" spans="1:9" x14ac:dyDescent="0.25">
      <c r="A8" s="719"/>
      <c r="B8" s="719"/>
      <c r="C8" s="516" t="s">
        <v>1451</v>
      </c>
      <c r="D8" s="516" t="s">
        <v>36</v>
      </c>
      <c r="E8" s="516">
        <v>0.15</v>
      </c>
      <c r="F8" s="517">
        <v>0</v>
      </c>
      <c r="G8" s="517">
        <v>-2E-3</v>
      </c>
      <c r="H8" s="518">
        <v>-2.3E-3</v>
      </c>
      <c r="I8" s="517">
        <v>-1.7000000000000001E-3</v>
      </c>
    </row>
    <row r="9" spans="1:9" x14ac:dyDescent="0.25">
      <c r="A9" s="719"/>
      <c r="B9" s="719"/>
      <c r="C9" s="516" t="s">
        <v>1452</v>
      </c>
      <c r="D9" s="516" t="s">
        <v>37</v>
      </c>
      <c r="E9" s="516">
        <v>0.15</v>
      </c>
      <c r="F9" s="517">
        <v>0</v>
      </c>
      <c r="G9" s="517">
        <v>-5.0000000000000001E-4</v>
      </c>
      <c r="H9" s="518">
        <v>-5.7499999999999999E-4</v>
      </c>
      <c r="I9" s="517">
        <v>-4.2500000000000003E-4</v>
      </c>
    </row>
    <row r="10" spans="1:9" x14ac:dyDescent="0.25">
      <c r="A10" s="719"/>
      <c r="B10" s="719"/>
      <c r="C10" s="516" t="s">
        <v>1453</v>
      </c>
      <c r="D10" s="516" t="s">
        <v>38</v>
      </c>
      <c r="E10" s="516">
        <v>0.15</v>
      </c>
      <c r="F10" s="517">
        <v>0</v>
      </c>
      <c r="G10" s="517">
        <v>-4.4999999999999999E-4</v>
      </c>
      <c r="H10" s="518">
        <v>-5.1749999999999995E-4</v>
      </c>
      <c r="I10" s="517">
        <v>-3.8249999999999997E-4</v>
      </c>
    </row>
    <row r="11" spans="1:9" s="519" customFormat="1" x14ac:dyDescent="0.25">
      <c r="A11" s="719"/>
      <c r="B11" s="719" t="s">
        <v>10</v>
      </c>
      <c r="C11" s="513" t="s">
        <v>1454</v>
      </c>
      <c r="D11" s="513" t="s">
        <v>39</v>
      </c>
      <c r="E11" s="513">
        <v>0.1</v>
      </c>
      <c r="F11" s="514">
        <v>0.35</v>
      </c>
      <c r="G11" s="39">
        <v>0.26249999999999996</v>
      </c>
      <c r="H11" s="511">
        <f t="shared" ref="H11:H48" si="0">G11-G11*E11</f>
        <v>0.23624999999999996</v>
      </c>
      <c r="I11" s="511">
        <f t="shared" ref="I11:I40" si="1">G11+G11*E11</f>
        <v>0.28874999999999995</v>
      </c>
    </row>
    <row r="12" spans="1:9" s="519" customFormat="1" x14ac:dyDescent="0.25">
      <c r="A12" s="719"/>
      <c r="B12" s="719"/>
      <c r="C12" s="513" t="s">
        <v>1444</v>
      </c>
      <c r="D12" s="513" t="s">
        <v>40</v>
      </c>
      <c r="E12" s="513">
        <v>0.1</v>
      </c>
      <c r="F12" s="514">
        <v>0.75</v>
      </c>
      <c r="G12" s="39">
        <v>0.5625</v>
      </c>
      <c r="H12" s="511">
        <f t="shared" si="0"/>
        <v>0.50624999999999998</v>
      </c>
      <c r="I12" s="511">
        <f t="shared" si="1"/>
        <v>0.61875000000000002</v>
      </c>
    </row>
    <row r="13" spans="1:9" s="519" customFormat="1" x14ac:dyDescent="0.25">
      <c r="A13" s="719"/>
      <c r="B13" s="719" t="s">
        <v>180</v>
      </c>
      <c r="C13" s="521" t="s">
        <v>1455</v>
      </c>
      <c r="D13" s="521" t="s">
        <v>97</v>
      </c>
      <c r="E13" s="521">
        <v>0.15</v>
      </c>
      <c r="F13" s="514">
        <v>1.25</v>
      </c>
      <c r="G13" s="39">
        <v>1.25</v>
      </c>
      <c r="H13" s="511">
        <f t="shared" si="0"/>
        <v>1.0625</v>
      </c>
      <c r="I13" s="511">
        <f t="shared" si="1"/>
        <v>1.4375</v>
      </c>
    </row>
    <row r="14" spans="1:9" x14ac:dyDescent="0.25">
      <c r="A14" s="719"/>
      <c r="B14" s="719"/>
      <c r="C14" s="521" t="s">
        <v>1456</v>
      </c>
      <c r="D14" s="521" t="s">
        <v>98</v>
      </c>
      <c r="E14" s="521">
        <v>0.15</v>
      </c>
      <c r="F14" s="514">
        <v>5</v>
      </c>
      <c r="G14" s="39">
        <v>5</v>
      </c>
      <c r="H14" s="511">
        <f t="shared" si="0"/>
        <v>4.25</v>
      </c>
      <c r="I14" s="511">
        <f t="shared" si="1"/>
        <v>5.75</v>
      </c>
    </row>
    <row r="15" spans="1:9" x14ac:dyDescent="0.25">
      <c r="A15" s="718"/>
      <c r="B15" s="719" t="s">
        <v>240</v>
      </c>
      <c r="C15" s="513" t="s">
        <v>1457</v>
      </c>
      <c r="D15" s="513" t="s">
        <v>50</v>
      </c>
      <c r="E15" s="513">
        <v>0.1</v>
      </c>
      <c r="F15" s="514">
        <v>1</v>
      </c>
      <c r="G15" s="39">
        <v>1.25</v>
      </c>
      <c r="H15" s="511">
        <f t="shared" si="0"/>
        <v>1.125</v>
      </c>
      <c r="I15" s="511">
        <f t="shared" si="1"/>
        <v>1.375</v>
      </c>
    </row>
    <row r="16" spans="1:9" x14ac:dyDescent="0.25">
      <c r="A16" s="718"/>
      <c r="B16" s="719"/>
      <c r="C16" s="513" t="s">
        <v>1458</v>
      </c>
      <c r="D16" s="513" t="s">
        <v>85</v>
      </c>
      <c r="E16" s="513">
        <v>0.15</v>
      </c>
      <c r="F16" s="514">
        <v>2</v>
      </c>
      <c r="G16" s="39">
        <v>1</v>
      </c>
      <c r="H16" s="511">
        <f t="shared" si="0"/>
        <v>0.85</v>
      </c>
      <c r="I16" s="511">
        <f t="shared" si="1"/>
        <v>1.1499999999999999</v>
      </c>
    </row>
    <row r="17" spans="1:9" x14ac:dyDescent="0.25">
      <c r="A17" s="718"/>
      <c r="B17" s="719" t="s">
        <v>181</v>
      </c>
      <c r="C17" s="521" t="s">
        <v>1459</v>
      </c>
      <c r="D17" s="521" t="s">
        <v>44</v>
      </c>
      <c r="E17" s="521">
        <v>0.1</v>
      </c>
      <c r="F17" s="514">
        <v>1.9999999999999999E-6</v>
      </c>
      <c r="G17" s="39">
        <v>1.5E-6</v>
      </c>
      <c r="H17" s="511">
        <f t="shared" si="0"/>
        <v>1.35E-6</v>
      </c>
      <c r="I17" s="511">
        <f t="shared" si="1"/>
        <v>1.6500000000000001E-6</v>
      </c>
    </row>
    <row r="18" spans="1:9" x14ac:dyDescent="0.25">
      <c r="A18" s="718"/>
      <c r="B18" s="719"/>
      <c r="C18" s="521" t="s">
        <v>1460</v>
      </c>
      <c r="D18" s="521" t="s">
        <v>45</v>
      </c>
      <c r="E18" s="521">
        <v>0.1</v>
      </c>
      <c r="F18" s="514">
        <v>0.6</v>
      </c>
      <c r="G18" s="39">
        <v>0.75</v>
      </c>
      <c r="H18" s="511">
        <f t="shared" si="0"/>
        <v>0.67500000000000004</v>
      </c>
      <c r="I18" s="511">
        <f t="shared" si="1"/>
        <v>0.82499999999999996</v>
      </c>
    </row>
    <row r="19" spans="1:9" x14ac:dyDescent="0.25">
      <c r="A19" s="718"/>
      <c r="B19" s="719"/>
      <c r="C19" s="521" t="s">
        <v>1461</v>
      </c>
      <c r="D19" s="521" t="s">
        <v>46</v>
      </c>
      <c r="E19" s="521">
        <v>0.1</v>
      </c>
      <c r="F19" s="514">
        <v>0.54</v>
      </c>
      <c r="G19" s="39">
        <v>0.67500000000000004</v>
      </c>
      <c r="H19" s="511">
        <f t="shared" si="0"/>
        <v>0.60750000000000004</v>
      </c>
      <c r="I19" s="511">
        <f t="shared" si="1"/>
        <v>0.74250000000000005</v>
      </c>
    </row>
    <row r="20" spans="1:9" x14ac:dyDescent="0.25">
      <c r="A20" s="718"/>
      <c r="B20" s="719"/>
      <c r="C20" s="521" t="s">
        <v>1462</v>
      </c>
      <c r="D20" s="521" t="s">
        <v>47</v>
      </c>
      <c r="E20" s="521">
        <v>0.1</v>
      </c>
      <c r="F20" s="514">
        <v>0.89</v>
      </c>
      <c r="G20" s="39">
        <v>1.1125</v>
      </c>
      <c r="H20" s="511">
        <f t="shared" si="0"/>
        <v>1.00125</v>
      </c>
      <c r="I20" s="511">
        <f t="shared" si="1"/>
        <v>1.2237500000000001</v>
      </c>
    </row>
    <row r="21" spans="1:9" x14ac:dyDescent="0.25">
      <c r="A21" s="718"/>
      <c r="B21" s="719"/>
      <c r="C21" s="513" t="s">
        <v>1463</v>
      </c>
      <c r="D21" s="513" t="s">
        <v>48</v>
      </c>
      <c r="E21" s="513">
        <v>0.1</v>
      </c>
      <c r="F21" s="514">
        <v>1</v>
      </c>
      <c r="G21" s="39">
        <v>0.75</v>
      </c>
      <c r="H21" s="511">
        <f t="shared" si="0"/>
        <v>0.67500000000000004</v>
      </c>
      <c r="I21" s="511">
        <f t="shared" si="1"/>
        <v>0.82499999999999996</v>
      </c>
    </row>
    <row r="22" spans="1:9" x14ac:dyDescent="0.25">
      <c r="A22" s="718"/>
      <c r="B22" s="719"/>
      <c r="C22" s="521" t="s">
        <v>1464</v>
      </c>
      <c r="D22" s="521" t="s">
        <v>49</v>
      </c>
      <c r="E22" s="521">
        <v>0.1</v>
      </c>
      <c r="F22" s="514">
        <v>0.8</v>
      </c>
      <c r="G22" s="39">
        <v>1</v>
      </c>
      <c r="H22" s="511">
        <f t="shared" si="0"/>
        <v>0.9</v>
      </c>
      <c r="I22" s="511">
        <f t="shared" si="1"/>
        <v>1.1000000000000001</v>
      </c>
    </row>
    <row r="23" spans="1:9" s="519" customFormat="1" ht="14.25" customHeight="1" x14ac:dyDescent="0.25">
      <c r="A23" s="718"/>
      <c r="B23" s="719" t="s">
        <v>182</v>
      </c>
      <c r="C23" s="513" t="s">
        <v>1465</v>
      </c>
      <c r="D23" s="513" t="s">
        <v>84</v>
      </c>
      <c r="E23" s="513">
        <v>0.15</v>
      </c>
      <c r="F23" s="514">
        <v>10</v>
      </c>
      <c r="G23" s="39">
        <v>10</v>
      </c>
      <c r="H23" s="511">
        <f t="shared" si="0"/>
        <v>8.5</v>
      </c>
      <c r="I23" s="511">
        <f t="shared" si="1"/>
        <v>11.5</v>
      </c>
    </row>
    <row r="24" spans="1:9" s="519" customFormat="1" x14ac:dyDescent="0.25">
      <c r="A24" s="718"/>
      <c r="B24" s="719"/>
      <c r="C24" s="513" t="s">
        <v>1466</v>
      </c>
      <c r="D24" s="513" t="s">
        <v>78</v>
      </c>
      <c r="E24" s="513">
        <v>0.15</v>
      </c>
      <c r="F24" s="514">
        <v>9.8000000000000004E-2</v>
      </c>
      <c r="G24" s="39">
        <v>4.9000000000000002E-2</v>
      </c>
      <c r="H24" s="511">
        <f t="shared" si="0"/>
        <v>4.165E-2</v>
      </c>
      <c r="I24" s="511">
        <f t="shared" si="1"/>
        <v>5.6350000000000004E-2</v>
      </c>
    </row>
    <row r="25" spans="1:9" s="519" customFormat="1" x14ac:dyDescent="0.25">
      <c r="A25" s="718"/>
      <c r="B25" s="719"/>
      <c r="C25" s="521" t="s">
        <v>1467</v>
      </c>
      <c r="D25" s="521" t="s">
        <v>77</v>
      </c>
      <c r="E25" s="521">
        <v>0.15</v>
      </c>
      <c r="F25" s="514">
        <v>3E-11</v>
      </c>
      <c r="G25" s="39">
        <v>1.5E-11</v>
      </c>
      <c r="H25" s="511">
        <f t="shared" si="0"/>
        <v>1.275E-11</v>
      </c>
      <c r="I25" s="511">
        <f t="shared" si="1"/>
        <v>1.7249999999999999E-11</v>
      </c>
    </row>
    <row r="26" spans="1:9" s="519" customFormat="1" x14ac:dyDescent="0.25">
      <c r="A26" s="718"/>
      <c r="B26" s="719"/>
      <c r="C26" s="521" t="s">
        <v>1468</v>
      </c>
      <c r="D26" s="521" t="s">
        <v>73</v>
      </c>
      <c r="E26" s="521">
        <v>0.15</v>
      </c>
      <c r="F26" s="514">
        <v>2.8E-11</v>
      </c>
      <c r="G26" s="39">
        <v>1.4E-11</v>
      </c>
      <c r="H26" s="511">
        <f t="shared" si="0"/>
        <v>1.1900000000000001E-11</v>
      </c>
      <c r="I26" s="511">
        <f t="shared" si="1"/>
        <v>1.6100000000000001E-11</v>
      </c>
    </row>
    <row r="27" spans="1:9" s="519" customFormat="1" x14ac:dyDescent="0.25">
      <c r="A27" s="718"/>
      <c r="B27" s="719"/>
      <c r="C27" s="521" t="s">
        <v>1469</v>
      </c>
      <c r="D27" s="521" t="s">
        <v>59</v>
      </c>
      <c r="E27" s="521">
        <v>0.15</v>
      </c>
      <c r="F27" s="514">
        <v>0.02</v>
      </c>
      <c r="G27" s="39">
        <v>0.01</v>
      </c>
      <c r="H27" s="511">
        <f t="shared" si="0"/>
        <v>8.5000000000000006E-3</v>
      </c>
      <c r="I27" s="511">
        <f t="shared" si="1"/>
        <v>1.15E-2</v>
      </c>
    </row>
    <row r="28" spans="1:9" s="519" customFormat="1" x14ac:dyDescent="0.25">
      <c r="A28" s="718"/>
      <c r="B28" s="719"/>
      <c r="C28" s="521" t="s">
        <v>1470</v>
      </c>
      <c r="D28" s="521" t="s">
        <v>56</v>
      </c>
      <c r="E28" s="521">
        <v>0.1</v>
      </c>
      <c r="F28" s="514">
        <v>1.1000000000000001</v>
      </c>
      <c r="G28" s="39">
        <v>0.9900000000000001</v>
      </c>
      <c r="H28" s="511">
        <f t="shared" si="0"/>
        <v>0.89100000000000013</v>
      </c>
      <c r="I28" s="511">
        <f t="shared" si="1"/>
        <v>1.0890000000000002</v>
      </c>
    </row>
    <row r="29" spans="1:9" s="519" customFormat="1" ht="30" x14ac:dyDescent="0.25">
      <c r="A29" s="718"/>
      <c r="B29" s="719"/>
      <c r="C29" s="513" t="s">
        <v>1474</v>
      </c>
      <c r="D29" s="513" t="s">
        <v>133</v>
      </c>
      <c r="E29" s="513">
        <v>0.15</v>
      </c>
      <c r="F29" s="514">
        <v>6</v>
      </c>
      <c r="G29" s="39">
        <v>9</v>
      </c>
      <c r="H29" s="511">
        <f t="shared" si="0"/>
        <v>7.65</v>
      </c>
      <c r="I29" s="511">
        <f t="shared" si="1"/>
        <v>10.35</v>
      </c>
    </row>
    <row r="30" spans="1:9" x14ac:dyDescent="0.25">
      <c r="A30" s="718"/>
      <c r="B30" s="719" t="s">
        <v>183</v>
      </c>
      <c r="C30" s="521" t="s">
        <v>1475</v>
      </c>
      <c r="D30" s="521" t="s">
        <v>71</v>
      </c>
      <c r="E30" s="521">
        <v>0.15</v>
      </c>
      <c r="F30" s="514">
        <v>0.04</v>
      </c>
      <c r="G30" s="39">
        <v>0.02</v>
      </c>
      <c r="H30" s="511">
        <f t="shared" si="0"/>
        <v>1.7000000000000001E-2</v>
      </c>
      <c r="I30" s="511">
        <f t="shared" si="1"/>
        <v>2.3E-2</v>
      </c>
    </row>
    <row r="31" spans="1:9" x14ac:dyDescent="0.25">
      <c r="A31" s="718"/>
      <c r="B31" s="719"/>
      <c r="C31" s="521" t="s">
        <v>1476</v>
      </c>
      <c r="D31" s="521" t="s">
        <v>75</v>
      </c>
      <c r="E31" s="521">
        <v>0.15</v>
      </c>
      <c r="F31" s="514">
        <v>0.04</v>
      </c>
      <c r="G31" s="39">
        <v>0.02</v>
      </c>
      <c r="H31" s="511">
        <f t="shared" si="0"/>
        <v>1.7000000000000001E-2</v>
      </c>
      <c r="I31" s="511">
        <f t="shared" si="1"/>
        <v>2.3E-2</v>
      </c>
    </row>
    <row r="32" spans="1:9" x14ac:dyDescent="0.25">
      <c r="A32" s="718"/>
      <c r="B32" s="719"/>
      <c r="C32" s="521" t="s">
        <v>1477</v>
      </c>
      <c r="D32" s="521" t="s">
        <v>79</v>
      </c>
      <c r="E32" s="521">
        <v>0.15</v>
      </c>
      <c r="F32" s="514">
        <v>0.04</v>
      </c>
      <c r="G32" s="39">
        <v>0.02</v>
      </c>
      <c r="H32" s="511">
        <f t="shared" si="0"/>
        <v>1.7000000000000001E-2</v>
      </c>
      <c r="I32" s="511">
        <f t="shared" si="1"/>
        <v>2.3E-2</v>
      </c>
    </row>
    <row r="33" spans="1:9" x14ac:dyDescent="0.25">
      <c r="A33" s="718"/>
      <c r="B33" s="719"/>
      <c r="C33" s="521" t="s">
        <v>1478</v>
      </c>
      <c r="D33" s="521" t="s">
        <v>53</v>
      </c>
      <c r="E33" s="521">
        <v>0.1</v>
      </c>
      <c r="F33" s="514">
        <v>500000000000</v>
      </c>
      <c r="G33" s="39">
        <v>375000000000</v>
      </c>
      <c r="H33" s="511">
        <f t="shared" si="0"/>
        <v>337500000000</v>
      </c>
      <c r="I33" s="511">
        <f t="shared" si="1"/>
        <v>412500000000</v>
      </c>
    </row>
    <row r="34" spans="1:9" ht="30" x14ac:dyDescent="0.25">
      <c r="A34" s="718"/>
      <c r="B34" s="719"/>
      <c r="C34" s="513" t="s">
        <v>1479</v>
      </c>
      <c r="D34" s="513" t="s">
        <v>82</v>
      </c>
      <c r="E34" s="513">
        <v>0.15</v>
      </c>
      <c r="F34" s="514">
        <v>5</v>
      </c>
      <c r="G34" s="39">
        <v>2.5</v>
      </c>
      <c r="H34" s="511">
        <f t="shared" si="0"/>
        <v>2.125</v>
      </c>
      <c r="I34" s="511">
        <f t="shared" si="1"/>
        <v>2.875</v>
      </c>
    </row>
    <row r="35" spans="1:9" x14ac:dyDescent="0.25">
      <c r="A35" s="719"/>
      <c r="B35" s="719" t="s">
        <v>284</v>
      </c>
      <c r="C35" s="523" t="s">
        <v>1480</v>
      </c>
      <c r="D35" s="523" t="s">
        <v>171</v>
      </c>
      <c r="E35" s="522">
        <v>0.15</v>
      </c>
      <c r="F35" s="514">
        <v>400000</v>
      </c>
      <c r="G35" s="39">
        <v>500000</v>
      </c>
      <c r="H35" s="511">
        <f t="shared" si="0"/>
        <v>425000</v>
      </c>
      <c r="I35" s="511">
        <f t="shared" si="1"/>
        <v>575000</v>
      </c>
    </row>
    <row r="36" spans="1:9" x14ac:dyDescent="0.25">
      <c r="A36" s="719"/>
      <c r="B36" s="719"/>
      <c r="C36" s="513" t="s">
        <v>1481</v>
      </c>
      <c r="D36" s="513" t="s">
        <v>83</v>
      </c>
      <c r="E36" s="513">
        <v>0.15</v>
      </c>
      <c r="F36" s="514">
        <v>1000000000</v>
      </c>
      <c r="G36" s="39">
        <v>1000000000</v>
      </c>
      <c r="H36" s="511">
        <f t="shared" si="0"/>
        <v>850000000</v>
      </c>
      <c r="I36" s="511">
        <f t="shared" si="1"/>
        <v>1150000000</v>
      </c>
    </row>
    <row r="37" spans="1:9" ht="30" x14ac:dyDescent="0.25">
      <c r="A37" s="719"/>
      <c r="B37" s="719"/>
      <c r="C37" s="521" t="s">
        <v>1473</v>
      </c>
      <c r="D37" s="521" t="s">
        <v>58</v>
      </c>
      <c r="E37" s="521">
        <v>0.15</v>
      </c>
      <c r="F37" s="514">
        <v>10</v>
      </c>
      <c r="G37" s="39">
        <v>10</v>
      </c>
      <c r="H37" s="511">
        <f t="shared" si="0"/>
        <v>8.5</v>
      </c>
      <c r="I37" s="511">
        <f t="shared" si="1"/>
        <v>11.5</v>
      </c>
    </row>
    <row r="38" spans="1:9" ht="30" x14ac:dyDescent="0.25">
      <c r="A38" s="719"/>
      <c r="B38" s="719"/>
      <c r="C38" s="521" t="s">
        <v>1472</v>
      </c>
      <c r="D38" s="521" t="s">
        <v>55</v>
      </c>
      <c r="E38" s="521">
        <v>0.15</v>
      </c>
      <c r="F38" s="514">
        <v>20</v>
      </c>
      <c r="G38" s="39">
        <v>20</v>
      </c>
      <c r="H38" s="511">
        <f t="shared" si="0"/>
        <v>17</v>
      </c>
      <c r="I38" s="511">
        <f t="shared" si="1"/>
        <v>23</v>
      </c>
    </row>
    <row r="39" spans="1:9" ht="30" x14ac:dyDescent="0.25">
      <c r="A39" s="719"/>
      <c r="B39" s="719"/>
      <c r="C39" s="521" t="s">
        <v>1471</v>
      </c>
      <c r="D39" s="521" t="s">
        <v>61</v>
      </c>
      <c r="E39" s="521">
        <v>0.15</v>
      </c>
      <c r="F39" s="514">
        <v>30000000</v>
      </c>
      <c r="G39" s="39">
        <v>30000000</v>
      </c>
      <c r="H39" s="511">
        <f t="shared" si="0"/>
        <v>25500000</v>
      </c>
      <c r="I39" s="511">
        <f t="shared" si="1"/>
        <v>34500000</v>
      </c>
    </row>
    <row r="40" spans="1:9" ht="19.5" customHeight="1" x14ac:dyDescent="0.25">
      <c r="A40" s="719"/>
      <c r="B40" s="524" t="s">
        <v>285</v>
      </c>
      <c r="C40" s="521" t="s">
        <v>1482</v>
      </c>
      <c r="D40" s="521" t="s">
        <v>127</v>
      </c>
      <c r="E40" s="521">
        <v>0.15</v>
      </c>
      <c r="F40" s="514">
        <v>7500000000</v>
      </c>
      <c r="G40" s="39">
        <v>11250000000</v>
      </c>
      <c r="H40" s="511">
        <f t="shared" si="0"/>
        <v>9562500000</v>
      </c>
      <c r="I40" s="511">
        <f t="shared" si="1"/>
        <v>12937500000</v>
      </c>
    </row>
    <row r="41" spans="1:9" s="519" customFormat="1" x14ac:dyDescent="0.25">
      <c r="A41" s="718"/>
      <c r="B41" s="719" t="s">
        <v>288</v>
      </c>
      <c r="C41" s="516" t="s">
        <v>1483</v>
      </c>
      <c r="D41" s="516" t="s">
        <v>88</v>
      </c>
      <c r="E41" s="521">
        <v>0.1</v>
      </c>
      <c r="F41" s="514">
        <v>0.95</v>
      </c>
      <c r="G41" s="39">
        <v>0.95949999999999991</v>
      </c>
      <c r="H41" s="511">
        <f t="shared" si="0"/>
        <v>0.86354999999999993</v>
      </c>
      <c r="I41" s="518">
        <v>1</v>
      </c>
    </row>
    <row r="42" spans="1:9" s="519" customFormat="1" x14ac:dyDescent="0.25">
      <c r="A42" s="718"/>
      <c r="B42" s="719"/>
      <c r="C42" s="521" t="s">
        <v>1484</v>
      </c>
      <c r="D42" s="521" t="s">
        <v>89</v>
      </c>
      <c r="E42" s="521">
        <v>0.15</v>
      </c>
      <c r="F42" s="514">
        <v>5</v>
      </c>
      <c r="G42" s="39">
        <v>4.5</v>
      </c>
      <c r="H42" s="511">
        <f t="shared" si="0"/>
        <v>3.8250000000000002</v>
      </c>
      <c r="I42" s="511">
        <f t="shared" ref="I42:I48" si="2">G42+G42*E42</f>
        <v>5.1749999999999998</v>
      </c>
    </row>
    <row r="43" spans="1:9" x14ac:dyDescent="0.25">
      <c r="A43" s="718"/>
      <c r="B43" s="719" t="s">
        <v>289</v>
      </c>
      <c r="C43" s="513" t="s">
        <v>1486</v>
      </c>
      <c r="D43" s="513" t="s">
        <v>109</v>
      </c>
      <c r="E43" s="513">
        <v>0.15</v>
      </c>
      <c r="F43" s="514">
        <v>7.0000000000000007E-2</v>
      </c>
      <c r="G43" s="39">
        <v>3.5000000000000003E-2</v>
      </c>
      <c r="H43" s="511">
        <f t="shared" si="0"/>
        <v>2.9750000000000002E-2</v>
      </c>
      <c r="I43" s="511">
        <f t="shared" si="2"/>
        <v>4.0250000000000001E-2</v>
      </c>
    </row>
    <row r="44" spans="1:9" x14ac:dyDescent="0.25">
      <c r="A44" s="718"/>
      <c r="B44" s="719"/>
      <c r="C44" s="521" t="s">
        <v>1485</v>
      </c>
      <c r="D44" s="521" t="s">
        <v>107</v>
      </c>
      <c r="E44" s="521">
        <v>0.15</v>
      </c>
      <c r="F44" s="514">
        <v>0.3</v>
      </c>
      <c r="G44" s="39">
        <v>0.15</v>
      </c>
      <c r="H44" s="511">
        <f t="shared" si="0"/>
        <v>0.1275</v>
      </c>
      <c r="I44" s="511">
        <f t="shared" si="2"/>
        <v>0.17249999999999999</v>
      </c>
    </row>
    <row r="45" spans="1:9" x14ac:dyDescent="0.25">
      <c r="A45" s="719"/>
      <c r="B45" s="719" t="s">
        <v>286</v>
      </c>
      <c r="C45" s="513" t="s">
        <v>1487</v>
      </c>
      <c r="D45" s="513" t="s">
        <v>115</v>
      </c>
      <c r="E45" s="513">
        <v>0.05</v>
      </c>
      <c r="F45" s="514">
        <v>1</v>
      </c>
      <c r="G45" s="39">
        <v>1.1000000000000001</v>
      </c>
      <c r="H45" s="511">
        <f t="shared" si="0"/>
        <v>1.0450000000000002</v>
      </c>
      <c r="I45" s="511">
        <f t="shared" si="2"/>
        <v>1.155</v>
      </c>
    </row>
    <row r="46" spans="1:9" x14ac:dyDescent="0.25">
      <c r="A46" s="719"/>
      <c r="B46" s="719"/>
      <c r="C46" s="513" t="s">
        <v>1488</v>
      </c>
      <c r="D46" s="513" t="s">
        <v>116</v>
      </c>
      <c r="E46" s="513">
        <v>0.05</v>
      </c>
      <c r="F46" s="514">
        <v>1</v>
      </c>
      <c r="G46" s="39">
        <v>1.1000000000000001</v>
      </c>
      <c r="H46" s="511">
        <f t="shared" si="0"/>
        <v>1.0450000000000002</v>
      </c>
      <c r="I46" s="511">
        <f t="shared" si="2"/>
        <v>1.155</v>
      </c>
    </row>
    <row r="47" spans="1:9" x14ac:dyDescent="0.25">
      <c r="A47" s="719"/>
      <c r="B47" s="719"/>
      <c r="C47" s="513" t="s">
        <v>1489</v>
      </c>
      <c r="D47" s="513" t="s">
        <v>120</v>
      </c>
      <c r="E47" s="513">
        <v>0.1</v>
      </c>
      <c r="F47" s="514">
        <v>1672.6</v>
      </c>
      <c r="G47" s="39">
        <v>1672.6</v>
      </c>
      <c r="H47" s="511">
        <f t="shared" si="0"/>
        <v>1505.34</v>
      </c>
      <c r="I47" s="511">
        <f t="shared" si="2"/>
        <v>1839.86</v>
      </c>
    </row>
    <row r="48" spans="1:9" ht="17.25" customHeight="1" x14ac:dyDescent="0.25">
      <c r="A48" s="719"/>
      <c r="B48" s="525" t="s">
        <v>287</v>
      </c>
      <c r="C48" s="513" t="s">
        <v>1490</v>
      </c>
      <c r="D48" s="513" t="s">
        <v>117</v>
      </c>
      <c r="E48" s="513">
        <v>0.1</v>
      </c>
      <c r="F48" s="514">
        <v>0.01</v>
      </c>
      <c r="G48" s="39">
        <v>0.01</v>
      </c>
      <c r="H48" s="511">
        <f t="shared" si="0"/>
        <v>9.0000000000000011E-3</v>
      </c>
      <c r="I48" s="511">
        <f t="shared" si="2"/>
        <v>1.0999999999999999E-2</v>
      </c>
    </row>
    <row r="49" spans="1:6" x14ac:dyDescent="0.25">
      <c r="A49" s="525"/>
      <c r="B49" s="525"/>
      <c r="C49" s="525"/>
      <c r="D49" s="525"/>
      <c r="E49" s="526"/>
      <c r="F49" s="507"/>
    </row>
    <row r="50" spans="1:6" x14ac:dyDescent="0.25">
      <c r="A50" s="525"/>
      <c r="B50" s="525"/>
      <c r="C50" s="525"/>
      <c r="D50" s="525"/>
      <c r="E50" s="526"/>
      <c r="F50" s="507"/>
    </row>
    <row r="51" spans="1:6" x14ac:dyDescent="0.25">
      <c r="A51" s="525"/>
      <c r="B51" s="525"/>
      <c r="C51" s="525"/>
      <c r="D51" s="525"/>
      <c r="E51" s="526"/>
      <c r="F51" s="507"/>
    </row>
    <row r="52" spans="1:6" x14ac:dyDescent="0.25">
      <c r="E52" s="526"/>
      <c r="F52" s="527"/>
    </row>
    <row r="53" spans="1:6" x14ac:dyDescent="0.25">
      <c r="E53" s="526"/>
      <c r="F53" s="527"/>
    </row>
    <row r="54" spans="1:6" x14ac:dyDescent="0.25">
      <c r="E54" s="526"/>
      <c r="F54" s="507"/>
    </row>
    <row r="55" spans="1:6" x14ac:dyDescent="0.25">
      <c r="E55" s="526"/>
      <c r="F55" s="507"/>
    </row>
    <row r="56" spans="1:6" x14ac:dyDescent="0.25">
      <c r="E56" s="526"/>
      <c r="F56" s="507"/>
    </row>
  </sheetData>
  <mergeCells count="18">
    <mergeCell ref="A41:A44"/>
    <mergeCell ref="B41:B42"/>
    <mergeCell ref="B43:B44"/>
    <mergeCell ref="A45:A48"/>
    <mergeCell ref="B45:B47"/>
    <mergeCell ref="A23:A34"/>
    <mergeCell ref="B23:B29"/>
    <mergeCell ref="B30:B34"/>
    <mergeCell ref="A35:A40"/>
    <mergeCell ref="B35:B39"/>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 activePane="bottomRight" state="frozen"/>
      <selection pane="topRight" activeCell="C1" sqref="C1"/>
      <selection pane="bottomLeft" activeCell="A2" sqref="A2"/>
      <selection pane="bottomRight" activeCell="F2" sqref="F2:F60"/>
    </sheetView>
  </sheetViews>
  <sheetFormatPr defaultColWidth="9" defaultRowHeight="15" x14ac:dyDescent="0.25"/>
  <cols>
    <col min="1" max="2" width="14.28515625" style="515" customWidth="1"/>
    <col min="3" max="3" width="76" style="515" customWidth="1"/>
    <col min="4" max="4" width="21" style="522" customWidth="1"/>
    <col min="5" max="5" width="20" style="38" bestFit="1" customWidth="1"/>
    <col min="6" max="6" width="22.42578125" style="515" customWidth="1"/>
    <col min="7" max="7" width="11.140625" style="515" bestFit="1" customWidth="1"/>
    <col min="8" max="8" width="12" style="515" bestFit="1" customWidth="1"/>
    <col min="9" max="16384" width="9" style="515"/>
  </cols>
  <sheetData>
    <row r="1" spans="1:8" s="512" customFormat="1" ht="124.9" customHeight="1" x14ac:dyDescent="0.25">
      <c r="A1" s="509"/>
      <c r="B1" s="509"/>
      <c r="C1" s="61" t="s">
        <v>3</v>
      </c>
      <c r="D1" s="510" t="s">
        <v>465</v>
      </c>
      <c r="E1" s="511" t="s">
        <v>464</v>
      </c>
      <c r="F1" s="511" t="s">
        <v>0</v>
      </c>
      <c r="G1" s="511" t="s">
        <v>1</v>
      </c>
      <c r="H1" s="511" t="s">
        <v>2</v>
      </c>
    </row>
    <row r="2" spans="1:8" x14ac:dyDescent="0.25">
      <c r="A2" s="719"/>
      <c r="B2" s="719" t="s">
        <v>178</v>
      </c>
      <c r="C2" s="513" t="s">
        <v>7</v>
      </c>
      <c r="D2" s="513">
        <v>0.05</v>
      </c>
      <c r="E2" s="514">
        <v>0.51500000000000001</v>
      </c>
      <c r="F2" s="511">
        <v>0.46350000000000002</v>
      </c>
      <c r="G2" s="511">
        <f>F2-F2*D2</f>
        <v>0.44032500000000002</v>
      </c>
      <c r="H2" s="511">
        <f>F2+F2*D2</f>
        <v>0.48667500000000002</v>
      </c>
    </row>
    <row r="3" spans="1:8" x14ac:dyDescent="0.25">
      <c r="A3" s="719"/>
      <c r="B3" s="719"/>
      <c r="C3" s="513" t="s">
        <v>6</v>
      </c>
      <c r="D3" s="513">
        <v>0.05</v>
      </c>
      <c r="E3" s="514">
        <v>12</v>
      </c>
      <c r="F3" s="511">
        <v>13.2</v>
      </c>
      <c r="G3" s="511">
        <f>F3-F3*D3</f>
        <v>12.54</v>
      </c>
      <c r="H3" s="511">
        <f>F3+F3*D3</f>
        <v>13.86</v>
      </c>
    </row>
    <row r="4" spans="1:8" x14ac:dyDescent="0.25">
      <c r="A4" s="719"/>
      <c r="B4" s="719"/>
      <c r="C4" s="513" t="s">
        <v>5</v>
      </c>
      <c r="D4" s="513">
        <v>0.05</v>
      </c>
      <c r="E4" s="514">
        <v>28</v>
      </c>
      <c r="F4" s="511">
        <v>25.2</v>
      </c>
      <c r="G4" s="511">
        <f>F4-F4*D4</f>
        <v>23.939999999999998</v>
      </c>
      <c r="H4" s="511">
        <f>F4+F4*D4</f>
        <v>26.46</v>
      </c>
    </row>
    <row r="5" spans="1:8" s="519" customFormat="1" x14ac:dyDescent="0.25">
      <c r="A5" s="719"/>
      <c r="B5" s="719" t="s">
        <v>179</v>
      </c>
      <c r="C5" s="516" t="s">
        <v>33</v>
      </c>
      <c r="D5" s="516">
        <v>0.15</v>
      </c>
      <c r="E5" s="517">
        <v>0</v>
      </c>
      <c r="F5" s="518">
        <v>0</v>
      </c>
      <c r="G5" s="518">
        <v>-6.3750000000000005E-4</v>
      </c>
      <c r="H5" s="518">
        <v>1.1250000000000001E-4</v>
      </c>
    </row>
    <row r="6" spans="1:8" s="519" customFormat="1" x14ac:dyDescent="0.25">
      <c r="A6" s="719"/>
      <c r="B6" s="719"/>
      <c r="C6" s="516" t="s">
        <v>34</v>
      </c>
      <c r="D6" s="516">
        <v>0.15</v>
      </c>
      <c r="E6" s="517">
        <v>0</v>
      </c>
      <c r="F6" s="518">
        <v>0</v>
      </c>
      <c r="G6" s="518">
        <v>-6.7500000000000004E-4</v>
      </c>
      <c r="H6" s="518">
        <v>7.499999999999998E-5</v>
      </c>
    </row>
    <row r="7" spans="1:8" s="519" customFormat="1" x14ac:dyDescent="0.25">
      <c r="A7" s="719"/>
      <c r="B7" s="719"/>
      <c r="C7" s="516" t="s">
        <v>35</v>
      </c>
      <c r="D7" s="516">
        <v>0.15</v>
      </c>
      <c r="E7" s="517">
        <v>0</v>
      </c>
      <c r="F7" s="518">
        <v>-2E-3</v>
      </c>
      <c r="G7" s="518">
        <v>-2.3E-3</v>
      </c>
      <c r="H7" s="518">
        <v>-1.7000000000000001E-3</v>
      </c>
    </row>
    <row r="8" spans="1:8" x14ac:dyDescent="0.25">
      <c r="A8" s="719"/>
      <c r="B8" s="719"/>
      <c r="C8" s="516" t="s">
        <v>36</v>
      </c>
      <c r="D8" s="516">
        <v>0.15</v>
      </c>
      <c r="E8" s="517">
        <v>0</v>
      </c>
      <c r="F8" s="518">
        <v>-2E-3</v>
      </c>
      <c r="G8" s="518">
        <v>-2.3E-3</v>
      </c>
      <c r="H8" s="518">
        <v>-1.7000000000000001E-3</v>
      </c>
    </row>
    <row r="9" spans="1:8" x14ac:dyDescent="0.25">
      <c r="A9" s="719"/>
      <c r="B9" s="719"/>
      <c r="C9" s="516" t="s">
        <v>37</v>
      </c>
      <c r="D9" s="516">
        <v>0.15</v>
      </c>
      <c r="E9" s="517">
        <v>0</v>
      </c>
      <c r="F9" s="518">
        <v>-5.0000000000000001E-4</v>
      </c>
      <c r="G9" s="518">
        <v>-5.7499999999999999E-4</v>
      </c>
      <c r="H9" s="518">
        <v>-4.2500000000000003E-4</v>
      </c>
    </row>
    <row r="10" spans="1:8" x14ac:dyDescent="0.25">
      <c r="A10" s="719"/>
      <c r="B10" s="719"/>
      <c r="C10" s="516" t="s">
        <v>38</v>
      </c>
      <c r="D10" s="516">
        <v>0.15</v>
      </c>
      <c r="E10" s="517">
        <v>0</v>
      </c>
      <c r="F10" s="518">
        <v>-4.4999999999999999E-4</v>
      </c>
      <c r="G10" s="518">
        <v>-5.1749999999999995E-4</v>
      </c>
      <c r="H10" s="518">
        <v>-3.8249999999999997E-4</v>
      </c>
    </row>
    <row r="11" spans="1:8" s="519" customFormat="1" x14ac:dyDescent="0.25">
      <c r="A11" s="719"/>
      <c r="B11" s="719" t="s">
        <v>10</v>
      </c>
      <c r="C11" s="513" t="s">
        <v>39</v>
      </c>
      <c r="D11" s="513">
        <v>0.1</v>
      </c>
      <c r="E11" s="514">
        <v>0.35</v>
      </c>
      <c r="F11" s="520">
        <v>0.26249999999999996</v>
      </c>
      <c r="G11" s="511">
        <f t="shared" ref="G11:G48" si="0">F11-F11*D11</f>
        <v>0.23624999999999996</v>
      </c>
      <c r="H11" s="511">
        <f t="shared" ref="H11:H40" si="1">F11+F11*D11</f>
        <v>0.28874999999999995</v>
      </c>
    </row>
    <row r="12" spans="1:8" s="519" customFormat="1" x14ac:dyDescent="0.25">
      <c r="A12" s="719"/>
      <c r="B12" s="719"/>
      <c r="C12" s="513" t="s">
        <v>40</v>
      </c>
      <c r="D12" s="513">
        <v>0.1</v>
      </c>
      <c r="E12" s="514">
        <v>0.75</v>
      </c>
      <c r="F12" s="520">
        <v>0.5625</v>
      </c>
      <c r="G12" s="511">
        <f t="shared" si="0"/>
        <v>0.50624999999999998</v>
      </c>
      <c r="H12" s="511">
        <f t="shared" si="1"/>
        <v>0.61875000000000002</v>
      </c>
    </row>
    <row r="13" spans="1:8" s="519" customFormat="1" x14ac:dyDescent="0.25">
      <c r="A13" s="719"/>
      <c r="B13" s="719" t="s">
        <v>180</v>
      </c>
      <c r="C13" s="521" t="s">
        <v>97</v>
      </c>
      <c r="D13" s="521">
        <v>0.15</v>
      </c>
      <c r="E13" s="514">
        <v>1.25</v>
      </c>
      <c r="F13" s="520">
        <v>0.625</v>
      </c>
      <c r="G13" s="511">
        <f t="shared" si="0"/>
        <v>0.53125</v>
      </c>
      <c r="H13" s="511">
        <f t="shared" si="1"/>
        <v>0.71875</v>
      </c>
    </row>
    <row r="14" spans="1:8" x14ac:dyDescent="0.25">
      <c r="A14" s="719"/>
      <c r="B14" s="719"/>
      <c r="C14" s="521" t="s">
        <v>98</v>
      </c>
      <c r="D14" s="521">
        <v>0.15</v>
      </c>
      <c r="E14" s="514">
        <v>5</v>
      </c>
      <c r="F14" s="511">
        <v>7.5</v>
      </c>
      <c r="G14" s="511">
        <f t="shared" si="0"/>
        <v>6.375</v>
      </c>
      <c r="H14" s="511">
        <f t="shared" si="1"/>
        <v>8.625</v>
      </c>
    </row>
    <row r="15" spans="1:8" x14ac:dyDescent="0.25">
      <c r="A15" s="718"/>
      <c r="B15" s="719" t="s">
        <v>240</v>
      </c>
      <c r="C15" s="513" t="s">
        <v>50</v>
      </c>
      <c r="D15" s="513">
        <v>0.1</v>
      </c>
      <c r="E15" s="514">
        <v>1</v>
      </c>
      <c r="F15" s="511">
        <v>1.25</v>
      </c>
      <c r="G15" s="511">
        <f t="shared" si="0"/>
        <v>1.125</v>
      </c>
      <c r="H15" s="511">
        <f t="shared" si="1"/>
        <v>1.375</v>
      </c>
    </row>
    <row r="16" spans="1:8" x14ac:dyDescent="0.25">
      <c r="A16" s="718"/>
      <c r="B16" s="719"/>
      <c r="C16" s="513" t="s">
        <v>85</v>
      </c>
      <c r="D16" s="513">
        <v>0.15</v>
      </c>
      <c r="E16" s="514">
        <v>2</v>
      </c>
      <c r="F16" s="511">
        <v>1</v>
      </c>
      <c r="G16" s="511">
        <f t="shared" si="0"/>
        <v>0.85</v>
      </c>
      <c r="H16" s="511">
        <f t="shared" si="1"/>
        <v>1.1499999999999999</v>
      </c>
    </row>
    <row r="17" spans="1:8" x14ac:dyDescent="0.25">
      <c r="A17" s="718"/>
      <c r="B17" s="719" t="s">
        <v>181</v>
      </c>
      <c r="C17" s="521" t="s">
        <v>44</v>
      </c>
      <c r="D17" s="521">
        <v>0.1</v>
      </c>
      <c r="E17" s="514">
        <v>1.9999999999999999E-6</v>
      </c>
      <c r="F17" s="511">
        <v>2.4999999999999998E-6</v>
      </c>
      <c r="G17" s="511">
        <f t="shared" si="0"/>
        <v>2.2499999999999996E-6</v>
      </c>
      <c r="H17" s="511">
        <f t="shared" si="1"/>
        <v>2.7499999999999999E-6</v>
      </c>
    </row>
    <row r="18" spans="1:8" x14ac:dyDescent="0.25">
      <c r="A18" s="718"/>
      <c r="B18" s="719"/>
      <c r="C18" s="521" t="s">
        <v>45</v>
      </c>
      <c r="D18" s="521">
        <v>0.1</v>
      </c>
      <c r="E18" s="514">
        <v>0.6</v>
      </c>
      <c r="F18" s="511">
        <v>0.75</v>
      </c>
      <c r="G18" s="511">
        <f t="shared" si="0"/>
        <v>0.67500000000000004</v>
      </c>
      <c r="H18" s="511">
        <f t="shared" si="1"/>
        <v>0.82499999999999996</v>
      </c>
    </row>
    <row r="19" spans="1:8" x14ac:dyDescent="0.25">
      <c r="A19" s="718"/>
      <c r="B19" s="719"/>
      <c r="C19" s="521" t="s">
        <v>46</v>
      </c>
      <c r="D19" s="521">
        <v>0.1</v>
      </c>
      <c r="E19" s="514">
        <v>0.54</v>
      </c>
      <c r="F19" s="511">
        <v>0.67500000000000004</v>
      </c>
      <c r="G19" s="511">
        <f t="shared" si="0"/>
        <v>0.60750000000000004</v>
      </c>
      <c r="H19" s="511">
        <f t="shared" si="1"/>
        <v>0.74250000000000005</v>
      </c>
    </row>
    <row r="20" spans="1:8" x14ac:dyDescent="0.25">
      <c r="A20" s="718"/>
      <c r="B20" s="719"/>
      <c r="C20" s="521" t="s">
        <v>47</v>
      </c>
      <c r="D20" s="521">
        <v>0.1</v>
      </c>
      <c r="E20" s="514">
        <v>0.89</v>
      </c>
      <c r="F20" s="511">
        <v>1.1125</v>
      </c>
      <c r="G20" s="511">
        <f t="shared" si="0"/>
        <v>1.00125</v>
      </c>
      <c r="H20" s="511">
        <f t="shared" si="1"/>
        <v>1.2237500000000001</v>
      </c>
    </row>
    <row r="21" spans="1:8" x14ac:dyDescent="0.25">
      <c r="A21" s="718"/>
      <c r="B21" s="719"/>
      <c r="C21" s="513" t="s">
        <v>48</v>
      </c>
      <c r="D21" s="513">
        <v>0.1</v>
      </c>
      <c r="E21" s="514">
        <v>1</v>
      </c>
      <c r="F21" s="511">
        <v>0.75</v>
      </c>
      <c r="G21" s="511">
        <f t="shared" si="0"/>
        <v>0.67500000000000004</v>
      </c>
      <c r="H21" s="511">
        <f t="shared" si="1"/>
        <v>0.82499999999999996</v>
      </c>
    </row>
    <row r="22" spans="1:8" x14ac:dyDescent="0.25">
      <c r="A22" s="718"/>
      <c r="B22" s="719"/>
      <c r="C22" s="521" t="s">
        <v>49</v>
      </c>
      <c r="D22" s="521">
        <v>0.1</v>
      </c>
      <c r="E22" s="514">
        <v>0.8</v>
      </c>
      <c r="F22" s="511">
        <v>1</v>
      </c>
      <c r="G22" s="511">
        <f t="shared" si="0"/>
        <v>0.9</v>
      </c>
      <c r="H22" s="511">
        <f t="shared" si="1"/>
        <v>1.1000000000000001</v>
      </c>
    </row>
    <row r="23" spans="1:8" s="519" customFormat="1" ht="14.25" customHeight="1" x14ac:dyDescent="0.25">
      <c r="A23" s="718"/>
      <c r="B23" s="719" t="s">
        <v>182</v>
      </c>
      <c r="C23" s="513" t="s">
        <v>84</v>
      </c>
      <c r="D23" s="513">
        <v>0.15</v>
      </c>
      <c r="E23" s="514">
        <v>10</v>
      </c>
      <c r="F23" s="520">
        <v>10</v>
      </c>
      <c r="G23" s="511">
        <f t="shared" si="0"/>
        <v>8.5</v>
      </c>
      <c r="H23" s="511">
        <f t="shared" si="1"/>
        <v>11.5</v>
      </c>
    </row>
    <row r="24" spans="1:8" s="519" customFormat="1" x14ac:dyDescent="0.25">
      <c r="A24" s="718"/>
      <c r="B24" s="719"/>
      <c r="C24" s="513" t="s">
        <v>78</v>
      </c>
      <c r="D24" s="513">
        <v>0.15</v>
      </c>
      <c r="E24" s="514">
        <v>9.8000000000000004E-2</v>
      </c>
      <c r="F24" s="520">
        <v>4.9000000000000002E-2</v>
      </c>
      <c r="G24" s="511">
        <f t="shared" si="0"/>
        <v>4.165E-2</v>
      </c>
      <c r="H24" s="511">
        <f t="shared" si="1"/>
        <v>5.6350000000000004E-2</v>
      </c>
    </row>
    <row r="25" spans="1:8" s="519" customFormat="1" x14ac:dyDescent="0.25">
      <c r="A25" s="718"/>
      <c r="B25" s="719"/>
      <c r="C25" s="521" t="s">
        <v>77</v>
      </c>
      <c r="D25" s="521">
        <v>0.15</v>
      </c>
      <c r="E25" s="514">
        <v>3E-11</v>
      </c>
      <c r="F25" s="520">
        <v>1.5E-11</v>
      </c>
      <c r="G25" s="511">
        <f t="shared" si="0"/>
        <v>1.275E-11</v>
      </c>
      <c r="H25" s="511">
        <f t="shared" si="1"/>
        <v>1.7249999999999999E-11</v>
      </c>
    </row>
    <row r="26" spans="1:8" s="519" customFormat="1" x14ac:dyDescent="0.25">
      <c r="A26" s="718"/>
      <c r="B26" s="719"/>
      <c r="C26" s="521" t="s">
        <v>73</v>
      </c>
      <c r="D26" s="521">
        <v>0.15</v>
      </c>
      <c r="E26" s="514">
        <v>2.8E-11</v>
      </c>
      <c r="F26" s="520">
        <v>1.4E-11</v>
      </c>
      <c r="G26" s="511">
        <f t="shared" si="0"/>
        <v>1.1900000000000001E-11</v>
      </c>
      <c r="H26" s="511">
        <f t="shared" si="1"/>
        <v>1.6100000000000001E-11</v>
      </c>
    </row>
    <row r="27" spans="1:8" s="519" customFormat="1" x14ac:dyDescent="0.25">
      <c r="A27" s="718"/>
      <c r="B27" s="719"/>
      <c r="C27" s="521" t="s">
        <v>59</v>
      </c>
      <c r="D27" s="521">
        <v>0.15</v>
      </c>
      <c r="E27" s="514">
        <v>0.02</v>
      </c>
      <c r="F27" s="520">
        <v>0.01</v>
      </c>
      <c r="G27" s="511">
        <f t="shared" si="0"/>
        <v>8.5000000000000006E-3</v>
      </c>
      <c r="H27" s="511">
        <f t="shared" si="1"/>
        <v>1.15E-2</v>
      </c>
    </row>
    <row r="28" spans="1:8" s="519" customFormat="1" x14ac:dyDescent="0.25">
      <c r="A28" s="718"/>
      <c r="B28" s="719"/>
      <c r="C28" s="521" t="s">
        <v>56</v>
      </c>
      <c r="D28" s="521">
        <v>0.1</v>
      </c>
      <c r="E28" s="514">
        <v>1.1000000000000001</v>
      </c>
      <c r="F28" s="520">
        <v>0.9900000000000001</v>
      </c>
      <c r="G28" s="511">
        <f t="shared" si="0"/>
        <v>0.89100000000000013</v>
      </c>
      <c r="H28" s="511">
        <f t="shared" si="1"/>
        <v>1.0890000000000002</v>
      </c>
    </row>
    <row r="29" spans="1:8" s="519" customFormat="1" x14ac:dyDescent="0.25">
      <c r="A29" s="718"/>
      <c r="B29" s="719"/>
      <c r="C29" s="513" t="s">
        <v>133</v>
      </c>
      <c r="D29" s="513">
        <v>0.15</v>
      </c>
      <c r="E29" s="514">
        <v>6</v>
      </c>
      <c r="F29" s="520">
        <v>9</v>
      </c>
      <c r="G29" s="511">
        <f t="shared" si="0"/>
        <v>7.65</v>
      </c>
      <c r="H29" s="511">
        <f t="shared" si="1"/>
        <v>10.35</v>
      </c>
    </row>
    <row r="30" spans="1:8" x14ac:dyDescent="0.25">
      <c r="A30" s="718"/>
      <c r="B30" s="719" t="s">
        <v>183</v>
      </c>
      <c r="C30" s="521" t="s">
        <v>71</v>
      </c>
      <c r="D30" s="521">
        <v>0.15</v>
      </c>
      <c r="E30" s="514">
        <v>0.04</v>
      </c>
      <c r="F30" s="511">
        <v>0.06</v>
      </c>
      <c r="G30" s="511">
        <f t="shared" si="0"/>
        <v>5.0999999999999997E-2</v>
      </c>
      <c r="H30" s="511">
        <f t="shared" si="1"/>
        <v>6.8999999999999992E-2</v>
      </c>
    </row>
    <row r="31" spans="1:8" x14ac:dyDescent="0.25">
      <c r="A31" s="718"/>
      <c r="B31" s="719"/>
      <c r="C31" s="521" t="s">
        <v>75</v>
      </c>
      <c r="D31" s="521">
        <v>0.15</v>
      </c>
      <c r="E31" s="514">
        <v>0.04</v>
      </c>
      <c r="F31" s="511">
        <v>0.06</v>
      </c>
      <c r="G31" s="511">
        <f t="shared" si="0"/>
        <v>5.0999999999999997E-2</v>
      </c>
      <c r="H31" s="511">
        <f t="shared" si="1"/>
        <v>6.8999999999999992E-2</v>
      </c>
    </row>
    <row r="32" spans="1:8" x14ac:dyDescent="0.25">
      <c r="A32" s="718"/>
      <c r="B32" s="719"/>
      <c r="C32" s="521" t="s">
        <v>79</v>
      </c>
      <c r="D32" s="521">
        <v>0.15</v>
      </c>
      <c r="E32" s="514">
        <v>0.04</v>
      </c>
      <c r="F32" s="511">
        <v>0.06</v>
      </c>
      <c r="G32" s="511">
        <f t="shared" si="0"/>
        <v>5.0999999999999997E-2</v>
      </c>
      <c r="H32" s="511">
        <f t="shared" si="1"/>
        <v>6.8999999999999992E-2</v>
      </c>
    </row>
    <row r="33" spans="1:8" x14ac:dyDescent="0.25">
      <c r="A33" s="718"/>
      <c r="B33" s="719"/>
      <c r="C33" s="521" t="s">
        <v>53</v>
      </c>
      <c r="D33" s="521">
        <v>0.1</v>
      </c>
      <c r="E33" s="514">
        <v>500000000000</v>
      </c>
      <c r="F33" s="511">
        <v>375000000000</v>
      </c>
      <c r="G33" s="511">
        <f t="shared" si="0"/>
        <v>337500000000</v>
      </c>
      <c r="H33" s="511">
        <f t="shared" si="1"/>
        <v>412500000000</v>
      </c>
    </row>
    <row r="34" spans="1:8" x14ac:dyDescent="0.25">
      <c r="A34" s="718"/>
      <c r="B34" s="719"/>
      <c r="C34" s="513" t="s">
        <v>82</v>
      </c>
      <c r="D34" s="513">
        <v>0.15</v>
      </c>
      <c r="E34" s="514">
        <v>5</v>
      </c>
      <c r="F34" s="511">
        <v>2.5</v>
      </c>
      <c r="G34" s="511">
        <f t="shared" si="0"/>
        <v>2.125</v>
      </c>
      <c r="H34" s="511">
        <f t="shared" si="1"/>
        <v>2.875</v>
      </c>
    </row>
    <row r="35" spans="1:8" x14ac:dyDescent="0.25">
      <c r="A35" s="719"/>
      <c r="B35" s="719" t="s">
        <v>284</v>
      </c>
      <c r="C35" s="523" t="s">
        <v>171</v>
      </c>
      <c r="D35" s="522">
        <v>0.15</v>
      </c>
      <c r="E35" s="514">
        <v>400000</v>
      </c>
      <c r="F35" s="511">
        <v>600000</v>
      </c>
      <c r="G35" s="511">
        <f t="shared" si="0"/>
        <v>510000</v>
      </c>
      <c r="H35" s="511">
        <f t="shared" si="1"/>
        <v>690000</v>
      </c>
    </row>
    <row r="36" spans="1:8" x14ac:dyDescent="0.25">
      <c r="A36" s="719"/>
      <c r="B36" s="719"/>
      <c r="C36" s="513" t="s">
        <v>83</v>
      </c>
      <c r="D36" s="513">
        <v>0.15</v>
      </c>
      <c r="E36" s="514">
        <v>1000000000</v>
      </c>
      <c r="F36" s="511">
        <v>500000000</v>
      </c>
      <c r="G36" s="511">
        <f t="shared" si="0"/>
        <v>425000000</v>
      </c>
      <c r="H36" s="511">
        <f t="shared" si="1"/>
        <v>575000000</v>
      </c>
    </row>
    <row r="37" spans="1:8" x14ac:dyDescent="0.25">
      <c r="A37" s="719"/>
      <c r="B37" s="719"/>
      <c r="C37" s="521" t="s">
        <v>58</v>
      </c>
      <c r="D37" s="521">
        <v>0.15</v>
      </c>
      <c r="E37" s="514">
        <v>10</v>
      </c>
      <c r="F37" s="511">
        <v>15</v>
      </c>
      <c r="G37" s="511">
        <f t="shared" si="0"/>
        <v>12.75</v>
      </c>
      <c r="H37" s="511">
        <f t="shared" si="1"/>
        <v>17.25</v>
      </c>
    </row>
    <row r="38" spans="1:8" x14ac:dyDescent="0.25">
      <c r="A38" s="719"/>
      <c r="B38" s="719"/>
      <c r="C38" s="521" t="s">
        <v>55</v>
      </c>
      <c r="D38" s="521">
        <v>0.15</v>
      </c>
      <c r="E38" s="514">
        <v>20</v>
      </c>
      <c r="F38" s="511">
        <v>30</v>
      </c>
      <c r="G38" s="511">
        <f t="shared" si="0"/>
        <v>25.5</v>
      </c>
      <c r="H38" s="511">
        <f t="shared" si="1"/>
        <v>34.5</v>
      </c>
    </row>
    <row r="39" spans="1:8" x14ac:dyDescent="0.25">
      <c r="A39" s="719"/>
      <c r="B39" s="719"/>
      <c r="C39" s="521" t="s">
        <v>61</v>
      </c>
      <c r="D39" s="521">
        <v>0.15</v>
      </c>
      <c r="E39" s="514">
        <v>30000000</v>
      </c>
      <c r="F39" s="511">
        <v>45000000</v>
      </c>
      <c r="G39" s="511">
        <f t="shared" si="0"/>
        <v>38250000</v>
      </c>
      <c r="H39" s="511">
        <f t="shared" si="1"/>
        <v>51750000</v>
      </c>
    </row>
    <row r="40" spans="1:8" ht="19.5" customHeight="1" x14ac:dyDescent="0.25">
      <c r="A40" s="719"/>
      <c r="B40" s="524" t="s">
        <v>285</v>
      </c>
      <c r="C40" s="521" t="s">
        <v>127</v>
      </c>
      <c r="D40" s="521">
        <v>0.15</v>
      </c>
      <c r="E40" s="514">
        <v>7500000000</v>
      </c>
      <c r="F40" s="511">
        <v>11250000000</v>
      </c>
      <c r="G40" s="511">
        <f t="shared" si="0"/>
        <v>9562500000</v>
      </c>
      <c r="H40" s="511">
        <f t="shared" si="1"/>
        <v>12937500000</v>
      </c>
    </row>
    <row r="41" spans="1:8" s="519" customFormat="1" x14ac:dyDescent="0.25">
      <c r="A41" s="718"/>
      <c r="B41" s="719" t="s">
        <v>288</v>
      </c>
      <c r="C41" s="516" t="s">
        <v>88</v>
      </c>
      <c r="D41" s="521">
        <v>0.1</v>
      </c>
      <c r="E41" s="514">
        <v>0.95</v>
      </c>
      <c r="F41" s="520">
        <v>0.95949999999999991</v>
      </c>
      <c r="G41" s="511">
        <f t="shared" si="0"/>
        <v>0.86354999999999993</v>
      </c>
      <c r="H41" s="518">
        <v>1</v>
      </c>
    </row>
    <row r="42" spans="1:8" s="519" customFormat="1" x14ac:dyDescent="0.25">
      <c r="A42" s="718"/>
      <c r="B42" s="719"/>
      <c r="C42" s="521" t="s">
        <v>89</v>
      </c>
      <c r="D42" s="521">
        <v>0.15</v>
      </c>
      <c r="E42" s="514">
        <v>5</v>
      </c>
      <c r="F42" s="520">
        <v>4.5</v>
      </c>
      <c r="G42" s="511">
        <f t="shared" si="0"/>
        <v>3.8250000000000002</v>
      </c>
      <c r="H42" s="511">
        <f t="shared" ref="H42:H48" si="2">F42+F42*D42</f>
        <v>5.1749999999999998</v>
      </c>
    </row>
    <row r="43" spans="1:8" x14ac:dyDescent="0.25">
      <c r="A43" s="718"/>
      <c r="B43" s="719" t="s">
        <v>289</v>
      </c>
      <c r="C43" s="513" t="s">
        <v>109</v>
      </c>
      <c r="D43" s="513">
        <v>0.15</v>
      </c>
      <c r="E43" s="514">
        <v>7.0000000000000007E-2</v>
      </c>
      <c r="F43" s="511">
        <v>3.5000000000000003E-2</v>
      </c>
      <c r="G43" s="511">
        <f t="shared" si="0"/>
        <v>2.9750000000000002E-2</v>
      </c>
      <c r="H43" s="511">
        <f t="shared" si="2"/>
        <v>4.0250000000000001E-2</v>
      </c>
    </row>
    <row r="44" spans="1:8" x14ac:dyDescent="0.25">
      <c r="A44" s="718"/>
      <c r="B44" s="719"/>
      <c r="C44" s="521" t="s">
        <v>107</v>
      </c>
      <c r="D44" s="521">
        <v>0.15</v>
      </c>
      <c r="E44" s="514">
        <v>0.3</v>
      </c>
      <c r="F44" s="511">
        <v>0.15</v>
      </c>
      <c r="G44" s="511">
        <f t="shared" si="0"/>
        <v>0.1275</v>
      </c>
      <c r="H44" s="511">
        <f t="shared" si="2"/>
        <v>0.17249999999999999</v>
      </c>
    </row>
    <row r="45" spans="1:8" x14ac:dyDescent="0.25">
      <c r="A45" s="719"/>
      <c r="B45" s="719" t="s">
        <v>286</v>
      </c>
      <c r="C45" s="513" t="s">
        <v>115</v>
      </c>
      <c r="D45" s="513">
        <v>0.05</v>
      </c>
      <c r="E45" s="514">
        <v>1</v>
      </c>
      <c r="F45" s="511">
        <v>1.1000000000000001</v>
      </c>
      <c r="G45" s="511">
        <f t="shared" si="0"/>
        <v>1.0450000000000002</v>
      </c>
      <c r="H45" s="511">
        <f t="shared" si="2"/>
        <v>1.155</v>
      </c>
    </row>
    <row r="46" spans="1:8" x14ac:dyDescent="0.25">
      <c r="A46" s="719"/>
      <c r="B46" s="719"/>
      <c r="C46" s="513" t="s">
        <v>116</v>
      </c>
      <c r="D46" s="513">
        <v>0.05</v>
      </c>
      <c r="E46" s="514">
        <v>1</v>
      </c>
      <c r="F46" s="511">
        <v>1.1000000000000001</v>
      </c>
      <c r="G46" s="511">
        <f t="shared" si="0"/>
        <v>1.0450000000000002</v>
      </c>
      <c r="H46" s="511">
        <f t="shared" si="2"/>
        <v>1.155</v>
      </c>
    </row>
    <row r="47" spans="1:8" x14ac:dyDescent="0.25">
      <c r="A47" s="719"/>
      <c r="B47" s="719"/>
      <c r="C47" s="513" t="s">
        <v>120</v>
      </c>
      <c r="D47" s="513">
        <v>0.1</v>
      </c>
      <c r="E47" s="514">
        <v>1672.6</v>
      </c>
      <c r="F47" s="511">
        <v>2090.75</v>
      </c>
      <c r="G47" s="511">
        <f t="shared" si="0"/>
        <v>1881.675</v>
      </c>
      <c r="H47" s="511">
        <f t="shared" si="2"/>
        <v>2299.8249999999998</v>
      </c>
    </row>
    <row r="48" spans="1:8" ht="17.25" customHeight="1" x14ac:dyDescent="0.25">
      <c r="A48" s="719"/>
      <c r="B48" s="525" t="s">
        <v>287</v>
      </c>
      <c r="C48" s="513" t="s">
        <v>117</v>
      </c>
      <c r="D48" s="513">
        <v>0.1</v>
      </c>
      <c r="E48" s="514">
        <v>0.01</v>
      </c>
      <c r="F48" s="511">
        <v>1.2500000000000001E-2</v>
      </c>
      <c r="G48" s="511">
        <f t="shared" si="0"/>
        <v>1.125E-2</v>
      </c>
      <c r="H48" s="511">
        <f t="shared" si="2"/>
        <v>1.3750000000000002E-2</v>
      </c>
    </row>
    <row r="49" spans="1:8" x14ac:dyDescent="0.25">
      <c r="A49" s="525"/>
      <c r="B49" s="525"/>
      <c r="C49" s="516" t="s">
        <v>1441</v>
      </c>
      <c r="D49" s="526"/>
      <c r="E49" s="71">
        <v>3</v>
      </c>
      <c r="F49" s="71">
        <v>3</v>
      </c>
      <c r="G49" s="518">
        <v>1</v>
      </c>
      <c r="H49" s="518">
        <v>5</v>
      </c>
    </row>
    <row r="50" spans="1:8" x14ac:dyDescent="0.25">
      <c r="A50" s="525"/>
      <c r="B50" s="525"/>
      <c r="C50" s="516" t="s">
        <v>1442</v>
      </c>
      <c r="D50" s="526"/>
      <c r="E50" s="71">
        <v>3</v>
      </c>
      <c r="F50" s="71">
        <v>3</v>
      </c>
      <c r="G50" s="518">
        <v>1</v>
      </c>
      <c r="H50" s="518">
        <v>5</v>
      </c>
    </row>
    <row r="51" spans="1:8" x14ac:dyDescent="0.25">
      <c r="A51" s="525"/>
      <c r="B51" s="525"/>
      <c r="C51" s="516" t="s">
        <v>1443</v>
      </c>
      <c r="D51" s="526"/>
      <c r="E51" s="71">
        <v>3</v>
      </c>
      <c r="F51" s="71">
        <v>3</v>
      </c>
      <c r="G51" s="518">
        <v>1</v>
      </c>
      <c r="H51" s="518">
        <v>5</v>
      </c>
    </row>
    <row r="52" spans="1:8" x14ac:dyDescent="0.25">
      <c r="C52" s="516" t="s">
        <v>1060</v>
      </c>
      <c r="D52" s="526"/>
      <c r="E52" s="66">
        <v>0</v>
      </c>
      <c r="F52" s="66">
        <v>0</v>
      </c>
      <c r="G52" s="518">
        <v>0</v>
      </c>
      <c r="H52" s="66">
        <v>0.99</v>
      </c>
    </row>
    <row r="53" spans="1:8" x14ac:dyDescent="0.25">
      <c r="C53" s="516" t="s">
        <v>1061</v>
      </c>
      <c r="D53" s="526"/>
      <c r="E53" s="66">
        <v>0</v>
      </c>
      <c r="F53" s="66">
        <v>0</v>
      </c>
      <c r="G53" s="518">
        <v>0</v>
      </c>
      <c r="H53" s="66">
        <v>0.99</v>
      </c>
    </row>
    <row r="54" spans="1:8" x14ac:dyDescent="0.25">
      <c r="C54" s="516" t="s">
        <v>134</v>
      </c>
      <c r="D54" s="526"/>
      <c r="E54" s="71">
        <v>0</v>
      </c>
      <c r="F54" s="71">
        <v>0</v>
      </c>
      <c r="G54" s="518">
        <v>0</v>
      </c>
      <c r="H54" s="518">
        <v>0.99</v>
      </c>
    </row>
    <row r="55" spans="1:8" x14ac:dyDescent="0.25">
      <c r="C55" s="516" t="s">
        <v>1190</v>
      </c>
      <c r="D55" s="526"/>
      <c r="E55" s="71">
        <v>20</v>
      </c>
      <c r="F55" s="71">
        <v>20</v>
      </c>
      <c r="G55" s="518">
        <v>5</v>
      </c>
      <c r="H55" s="518">
        <v>20</v>
      </c>
    </row>
    <row r="56" spans="1:8" x14ac:dyDescent="0.25">
      <c r="C56" s="516" t="s">
        <v>1191</v>
      </c>
      <c r="D56" s="526"/>
      <c r="E56" s="71">
        <v>20</v>
      </c>
      <c r="F56" s="71">
        <v>20</v>
      </c>
      <c r="G56" s="518">
        <v>5</v>
      </c>
      <c r="H56" s="518">
        <v>20</v>
      </c>
    </row>
    <row r="57" spans="1:8" x14ac:dyDescent="0.25">
      <c r="C57" s="516" t="s">
        <v>1192</v>
      </c>
      <c r="E57" s="71">
        <v>20</v>
      </c>
      <c r="F57" s="71">
        <v>20</v>
      </c>
      <c r="G57" s="518">
        <v>5</v>
      </c>
      <c r="H57" s="518">
        <v>20</v>
      </c>
    </row>
    <row r="58" spans="1:8" x14ac:dyDescent="0.25">
      <c r="C58" s="516" t="s">
        <v>1193</v>
      </c>
      <c r="E58" s="71">
        <v>20</v>
      </c>
      <c r="F58" s="71">
        <v>20</v>
      </c>
      <c r="G58" s="518">
        <v>5</v>
      </c>
      <c r="H58" s="518">
        <v>20</v>
      </c>
    </row>
    <row r="59" spans="1:8" x14ac:dyDescent="0.25">
      <c r="C59" s="528" t="s">
        <v>1194</v>
      </c>
      <c r="E59" s="71">
        <v>20</v>
      </c>
      <c r="F59" s="71">
        <v>20</v>
      </c>
      <c r="G59" s="518">
        <v>5</v>
      </c>
      <c r="H59" s="518">
        <v>20</v>
      </c>
    </row>
    <row r="60" spans="1:8" x14ac:dyDescent="0.25">
      <c r="C60" s="528" t="s">
        <v>1195</v>
      </c>
      <c r="E60" s="71">
        <v>20</v>
      </c>
      <c r="F60" s="71">
        <v>20</v>
      </c>
      <c r="G60" s="518">
        <v>5</v>
      </c>
      <c r="H60" s="518">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zoomScale="80" zoomScaleNormal="80" workbookViewId="0">
      <pane xSplit="2" ySplit="1" topLeftCell="C2" activePane="bottomRight" state="frozen"/>
      <selection pane="topRight" activeCell="C1" sqref="C1"/>
      <selection pane="bottomLeft" activeCell="A2" sqref="A2"/>
      <selection pane="bottomRight" activeCell="G2" sqref="G2:G48"/>
    </sheetView>
  </sheetViews>
  <sheetFormatPr defaultColWidth="9" defaultRowHeight="15" x14ac:dyDescent="0.25"/>
  <cols>
    <col min="1" max="3" width="14.28515625" style="355" customWidth="1"/>
    <col min="4" max="4" width="64" style="355" customWidth="1"/>
    <col min="5" max="5" width="21" style="157" customWidth="1"/>
    <col min="6" max="6" width="20" style="360" bestFit="1" customWidth="1"/>
    <col min="7" max="7" width="22" style="360" customWidth="1"/>
    <col min="8" max="9" width="9" style="355"/>
    <col min="10" max="10" width="86.7109375" style="358" customWidth="1"/>
    <col min="11" max="11" width="22.42578125" style="358" customWidth="1"/>
    <col min="12" max="13" width="9" style="358"/>
    <col min="14" max="16384" width="9" style="355"/>
  </cols>
  <sheetData>
    <row r="1" spans="1:13" s="26" customFormat="1" ht="124.9" customHeight="1" x14ac:dyDescent="0.25">
      <c r="A1" s="356"/>
      <c r="B1" s="356"/>
      <c r="C1" s="359" t="s">
        <v>3</v>
      </c>
      <c r="D1" s="356" t="s">
        <v>1491</v>
      </c>
      <c r="E1" s="88" t="s">
        <v>465</v>
      </c>
      <c r="F1" s="364" t="s">
        <v>464</v>
      </c>
      <c r="G1" s="364" t="s">
        <v>0</v>
      </c>
      <c r="H1" s="364" t="s">
        <v>1</v>
      </c>
      <c r="I1" s="364" t="s">
        <v>2</v>
      </c>
      <c r="J1" s="529"/>
      <c r="K1" s="504"/>
      <c r="L1" s="504"/>
      <c r="M1" s="504"/>
    </row>
    <row r="2" spans="1:13" x14ac:dyDescent="0.25">
      <c r="A2" s="665"/>
      <c r="B2" s="665" t="s">
        <v>178</v>
      </c>
      <c r="C2" s="91" t="s">
        <v>1445</v>
      </c>
      <c r="D2" s="91" t="s">
        <v>7</v>
      </c>
      <c r="E2" s="91">
        <v>0.05</v>
      </c>
      <c r="F2" s="58">
        <v>0.51500000000000001</v>
      </c>
      <c r="G2" s="39">
        <v>0.5665</v>
      </c>
      <c r="H2" s="364">
        <f>G2-G2*E2</f>
        <v>0.53817499999999996</v>
      </c>
      <c r="I2" s="364">
        <f>G2+G2*E2</f>
        <v>0.59482500000000005</v>
      </c>
      <c r="J2" s="91"/>
      <c r="K2" s="504"/>
      <c r="L2" s="504"/>
      <c r="M2" s="504"/>
    </row>
    <row r="3" spans="1:13" x14ac:dyDescent="0.25">
      <c r="A3" s="665"/>
      <c r="B3" s="665"/>
      <c r="C3" s="91" t="s">
        <v>1446</v>
      </c>
      <c r="D3" s="91" t="s">
        <v>6</v>
      </c>
      <c r="E3" s="91">
        <v>0.05</v>
      </c>
      <c r="F3" s="58">
        <v>12</v>
      </c>
      <c r="G3" s="39">
        <v>10.8</v>
      </c>
      <c r="H3" s="364">
        <f>G3-G3*E3</f>
        <v>10.260000000000002</v>
      </c>
      <c r="I3" s="364">
        <f>G3+G3*E3</f>
        <v>11.34</v>
      </c>
      <c r="J3" s="91"/>
      <c r="K3" s="504"/>
      <c r="L3" s="504"/>
      <c r="M3" s="504"/>
    </row>
    <row r="4" spans="1:13" x14ac:dyDescent="0.25">
      <c r="A4" s="665"/>
      <c r="B4" s="665"/>
      <c r="C4" s="91" t="s">
        <v>1447</v>
      </c>
      <c r="D4" s="91" t="s">
        <v>5</v>
      </c>
      <c r="E4" s="91">
        <v>0.05</v>
      </c>
      <c r="F4" s="58">
        <v>28</v>
      </c>
      <c r="G4" s="39">
        <v>28</v>
      </c>
      <c r="H4" s="364">
        <f>G4-G4*E4</f>
        <v>26.6</v>
      </c>
      <c r="I4" s="364">
        <f>G4+G4*E4</f>
        <v>29.4</v>
      </c>
      <c r="J4" s="91"/>
      <c r="K4" s="504"/>
      <c r="L4" s="504"/>
      <c r="M4" s="504"/>
    </row>
    <row r="5" spans="1:13" s="358" customFormat="1" x14ac:dyDescent="0.25">
      <c r="A5" s="665"/>
      <c r="B5" s="665" t="s">
        <v>179</v>
      </c>
      <c r="C5" s="365" t="s">
        <v>1448</v>
      </c>
      <c r="D5" s="365" t="s">
        <v>33</v>
      </c>
      <c r="E5" s="365">
        <v>0.15</v>
      </c>
      <c r="F5" s="59">
        <v>0</v>
      </c>
      <c r="G5" s="59">
        <v>0</v>
      </c>
      <c r="H5" s="503">
        <v>-6.3750000000000005E-4</v>
      </c>
      <c r="I5" s="59">
        <v>1.1250000000000001E-4</v>
      </c>
      <c r="J5" s="91"/>
      <c r="K5" s="504"/>
      <c r="L5" s="504"/>
      <c r="M5" s="504"/>
    </row>
    <row r="6" spans="1:13" s="358" customFormat="1" x14ac:dyDescent="0.25">
      <c r="A6" s="665"/>
      <c r="B6" s="665"/>
      <c r="C6" s="365" t="s">
        <v>1449</v>
      </c>
      <c r="D6" s="365" t="s">
        <v>34</v>
      </c>
      <c r="E6" s="365">
        <v>0.15</v>
      </c>
      <c r="F6" s="59">
        <v>0</v>
      </c>
      <c r="G6" s="59">
        <v>0</v>
      </c>
      <c r="H6" s="503">
        <v>-6.7500000000000004E-4</v>
      </c>
      <c r="I6" s="59">
        <v>7.499999999999998E-5</v>
      </c>
      <c r="J6" s="91"/>
      <c r="K6" s="504"/>
      <c r="L6" s="504"/>
      <c r="M6" s="504"/>
    </row>
    <row r="7" spans="1:13" s="358" customFormat="1" x14ac:dyDescent="0.25">
      <c r="A7" s="665"/>
      <c r="B7" s="665"/>
      <c r="C7" s="365" t="s">
        <v>1450</v>
      </c>
      <c r="D7" s="365" t="s">
        <v>35</v>
      </c>
      <c r="E7" s="365">
        <v>0.15</v>
      </c>
      <c r="F7" s="59">
        <v>0</v>
      </c>
      <c r="G7" s="59">
        <v>-2E-3</v>
      </c>
      <c r="H7" s="503">
        <v>-2.3E-3</v>
      </c>
      <c r="I7" s="59">
        <v>-1.7000000000000001E-3</v>
      </c>
      <c r="J7" s="91"/>
      <c r="K7" s="504"/>
      <c r="L7" s="504"/>
      <c r="M7" s="504"/>
    </row>
    <row r="8" spans="1:13" x14ac:dyDescent="0.25">
      <c r="A8" s="665"/>
      <c r="B8" s="665"/>
      <c r="C8" s="365" t="s">
        <v>1451</v>
      </c>
      <c r="D8" s="365" t="s">
        <v>36</v>
      </c>
      <c r="E8" s="365">
        <v>0.15</v>
      </c>
      <c r="F8" s="59">
        <v>0</v>
      </c>
      <c r="G8" s="59">
        <v>-2E-3</v>
      </c>
      <c r="H8" s="503">
        <v>-2.3E-3</v>
      </c>
      <c r="I8" s="59">
        <v>-1.7000000000000001E-3</v>
      </c>
      <c r="J8" s="91"/>
      <c r="K8" s="504"/>
      <c r="L8" s="504"/>
      <c r="M8" s="504"/>
    </row>
    <row r="9" spans="1:13" x14ac:dyDescent="0.25">
      <c r="A9" s="665"/>
      <c r="B9" s="665"/>
      <c r="C9" s="365" t="s">
        <v>1452</v>
      </c>
      <c r="D9" s="365" t="s">
        <v>37</v>
      </c>
      <c r="E9" s="365">
        <v>0.15</v>
      </c>
      <c r="F9" s="59">
        <v>0</v>
      </c>
      <c r="G9" s="59">
        <v>-5.0000000000000001E-4</v>
      </c>
      <c r="H9" s="503">
        <v>-5.7499999999999999E-4</v>
      </c>
      <c r="I9" s="59">
        <v>-4.2500000000000003E-4</v>
      </c>
      <c r="J9" s="91"/>
      <c r="K9" s="504"/>
      <c r="L9" s="504"/>
      <c r="M9" s="504"/>
    </row>
    <row r="10" spans="1:13" x14ac:dyDescent="0.25">
      <c r="A10" s="665"/>
      <c r="B10" s="665"/>
      <c r="C10" s="365" t="s">
        <v>1453</v>
      </c>
      <c r="D10" s="365" t="s">
        <v>38</v>
      </c>
      <c r="E10" s="365">
        <v>0.15</v>
      </c>
      <c r="F10" s="59">
        <v>0</v>
      </c>
      <c r="G10" s="59">
        <v>-4.4999999999999999E-4</v>
      </c>
      <c r="H10" s="503">
        <v>-5.1749999999999995E-4</v>
      </c>
      <c r="I10" s="59">
        <v>-3.8249999999999997E-4</v>
      </c>
      <c r="J10" s="91"/>
      <c r="K10" s="504"/>
      <c r="L10" s="504"/>
      <c r="M10" s="504"/>
    </row>
    <row r="11" spans="1:13" s="358" customFormat="1" x14ac:dyDescent="0.25">
      <c r="A11" s="665"/>
      <c r="B11" s="665" t="s">
        <v>10</v>
      </c>
      <c r="C11" s="91" t="s">
        <v>1454</v>
      </c>
      <c r="D11" s="91" t="s">
        <v>39</v>
      </c>
      <c r="E11" s="91">
        <v>0.1</v>
      </c>
      <c r="F11" s="58">
        <v>0.35</v>
      </c>
      <c r="G11" s="39">
        <v>0.26249999999999996</v>
      </c>
      <c r="H11" s="364">
        <f t="shared" ref="H11:H48" si="0">G11-G11*E11</f>
        <v>0.23624999999999996</v>
      </c>
      <c r="I11" s="364">
        <f t="shared" ref="I11:I48" si="1">G11+G11*E11</f>
        <v>0.28874999999999995</v>
      </c>
      <c r="J11" s="91"/>
      <c r="K11" s="504"/>
      <c r="L11" s="504"/>
      <c r="M11" s="504"/>
    </row>
    <row r="12" spans="1:13" s="358" customFormat="1" x14ac:dyDescent="0.25">
      <c r="A12" s="665"/>
      <c r="B12" s="665"/>
      <c r="C12" s="91" t="s">
        <v>1444</v>
      </c>
      <c r="D12" s="91" t="s">
        <v>40</v>
      </c>
      <c r="E12" s="91">
        <v>0.1</v>
      </c>
      <c r="F12" s="58">
        <v>0.75</v>
      </c>
      <c r="G12" s="39">
        <v>0.5625</v>
      </c>
      <c r="H12" s="364">
        <f t="shared" si="0"/>
        <v>0.50624999999999998</v>
      </c>
      <c r="I12" s="364">
        <f t="shared" si="1"/>
        <v>0.61875000000000002</v>
      </c>
      <c r="J12" s="91"/>
      <c r="K12" s="504"/>
      <c r="L12" s="504"/>
      <c r="M12" s="504"/>
    </row>
    <row r="13" spans="1:13" s="358" customFormat="1" x14ac:dyDescent="0.25">
      <c r="A13" s="665"/>
      <c r="B13" s="665" t="s">
        <v>180</v>
      </c>
      <c r="C13" s="89" t="s">
        <v>1455</v>
      </c>
      <c r="D13" s="89" t="s">
        <v>97</v>
      </c>
      <c r="E13" s="89">
        <v>0.15</v>
      </c>
      <c r="F13" s="58">
        <v>1.25</v>
      </c>
      <c r="G13" s="39">
        <v>1.25</v>
      </c>
      <c r="H13" s="364">
        <f t="shared" si="0"/>
        <v>1.0625</v>
      </c>
      <c r="I13" s="364">
        <f t="shared" si="1"/>
        <v>1.4375</v>
      </c>
      <c r="J13" s="91"/>
      <c r="K13" s="504"/>
      <c r="L13" s="504"/>
      <c r="M13" s="504"/>
    </row>
    <row r="14" spans="1:13" x14ac:dyDescent="0.25">
      <c r="A14" s="665"/>
      <c r="B14" s="665"/>
      <c r="C14" s="89" t="s">
        <v>1456</v>
      </c>
      <c r="D14" s="89" t="s">
        <v>98</v>
      </c>
      <c r="E14" s="89">
        <v>0.15</v>
      </c>
      <c r="F14" s="58">
        <v>5</v>
      </c>
      <c r="G14" s="39">
        <v>5</v>
      </c>
      <c r="H14" s="364">
        <f t="shared" si="0"/>
        <v>4.25</v>
      </c>
      <c r="I14" s="364">
        <f t="shared" si="1"/>
        <v>5.75</v>
      </c>
      <c r="J14" s="91"/>
      <c r="K14" s="504"/>
      <c r="L14" s="504"/>
      <c r="M14" s="504"/>
    </row>
    <row r="15" spans="1:13" x14ac:dyDescent="0.25">
      <c r="A15" s="659"/>
      <c r="B15" s="665" t="s">
        <v>240</v>
      </c>
      <c r="C15" s="91" t="s">
        <v>1457</v>
      </c>
      <c r="D15" s="91" t="s">
        <v>50</v>
      </c>
      <c r="E15" s="91">
        <v>0.1</v>
      </c>
      <c r="F15" s="58">
        <v>1</v>
      </c>
      <c r="G15" s="39">
        <v>0.75</v>
      </c>
      <c r="H15" s="364">
        <f t="shared" si="0"/>
        <v>0.67500000000000004</v>
      </c>
      <c r="I15" s="364">
        <f t="shared" si="1"/>
        <v>0.82499999999999996</v>
      </c>
      <c r="J15" s="91"/>
      <c r="K15" s="504"/>
      <c r="L15" s="504"/>
      <c r="M15" s="504"/>
    </row>
    <row r="16" spans="1:13" x14ac:dyDescent="0.25">
      <c r="A16" s="659"/>
      <c r="B16" s="665"/>
      <c r="C16" s="91" t="s">
        <v>1458</v>
      </c>
      <c r="D16" s="91" t="s">
        <v>85</v>
      </c>
      <c r="E16" s="91">
        <v>0.15</v>
      </c>
      <c r="F16" s="58">
        <v>2</v>
      </c>
      <c r="G16" s="39">
        <v>3</v>
      </c>
      <c r="H16" s="364">
        <f t="shared" si="0"/>
        <v>2.5499999999999998</v>
      </c>
      <c r="I16" s="364">
        <f t="shared" si="1"/>
        <v>3.45</v>
      </c>
      <c r="J16" s="91"/>
      <c r="K16" s="504"/>
      <c r="L16" s="504"/>
      <c r="M16" s="504"/>
    </row>
    <row r="17" spans="1:13" x14ac:dyDescent="0.25">
      <c r="A17" s="659"/>
      <c r="B17" s="665" t="s">
        <v>181</v>
      </c>
      <c r="C17" s="89" t="s">
        <v>1459</v>
      </c>
      <c r="D17" s="89" t="s">
        <v>44</v>
      </c>
      <c r="E17" s="89">
        <v>0.1</v>
      </c>
      <c r="F17" s="58">
        <v>1.9999999999999999E-6</v>
      </c>
      <c r="G17" s="39">
        <v>1.5E-6</v>
      </c>
      <c r="H17" s="364">
        <f t="shared" si="0"/>
        <v>1.35E-6</v>
      </c>
      <c r="I17" s="364">
        <f t="shared" si="1"/>
        <v>1.6500000000000001E-6</v>
      </c>
      <c r="J17" s="91"/>
      <c r="K17" s="504"/>
      <c r="L17" s="504"/>
      <c r="M17" s="504"/>
    </row>
    <row r="18" spans="1:13" x14ac:dyDescent="0.25">
      <c r="A18" s="659"/>
      <c r="B18" s="665"/>
      <c r="C18" s="89" t="s">
        <v>1460</v>
      </c>
      <c r="D18" s="89" t="s">
        <v>45</v>
      </c>
      <c r="E18" s="89">
        <v>0.1</v>
      </c>
      <c r="F18" s="58">
        <v>0.6</v>
      </c>
      <c r="G18" s="39">
        <v>0.44999999999999996</v>
      </c>
      <c r="H18" s="364">
        <f t="shared" si="0"/>
        <v>0.40499999999999997</v>
      </c>
      <c r="I18" s="364">
        <f t="shared" si="1"/>
        <v>0.49499999999999994</v>
      </c>
      <c r="J18" s="91"/>
      <c r="K18" s="504"/>
      <c r="L18" s="504"/>
      <c r="M18" s="504"/>
    </row>
    <row r="19" spans="1:13" x14ac:dyDescent="0.25">
      <c r="A19" s="659"/>
      <c r="B19" s="665"/>
      <c r="C19" s="89" t="s">
        <v>1461</v>
      </c>
      <c r="D19" s="89" t="s">
        <v>46</v>
      </c>
      <c r="E19" s="89">
        <v>0.1</v>
      </c>
      <c r="F19" s="58">
        <v>0.54</v>
      </c>
      <c r="G19" s="39">
        <v>0.40500000000000003</v>
      </c>
      <c r="H19" s="364">
        <f t="shared" si="0"/>
        <v>0.36450000000000005</v>
      </c>
      <c r="I19" s="364">
        <f t="shared" si="1"/>
        <v>0.44550000000000001</v>
      </c>
      <c r="J19" s="91"/>
      <c r="K19" s="504"/>
      <c r="L19" s="504"/>
      <c r="M19" s="504"/>
    </row>
    <row r="20" spans="1:13" x14ac:dyDescent="0.25">
      <c r="A20" s="659"/>
      <c r="B20" s="665"/>
      <c r="C20" s="89" t="s">
        <v>1462</v>
      </c>
      <c r="D20" s="89" t="s">
        <v>47</v>
      </c>
      <c r="E20" s="89">
        <v>0.1</v>
      </c>
      <c r="F20" s="58">
        <v>0.89</v>
      </c>
      <c r="G20" s="39">
        <v>0.66749999999999998</v>
      </c>
      <c r="H20" s="364">
        <f t="shared" si="0"/>
        <v>0.60075000000000001</v>
      </c>
      <c r="I20" s="364">
        <f t="shared" si="1"/>
        <v>0.73424999999999996</v>
      </c>
      <c r="J20" s="91"/>
      <c r="K20" s="504"/>
      <c r="L20" s="504"/>
      <c r="M20" s="504"/>
    </row>
    <row r="21" spans="1:13" x14ac:dyDescent="0.25">
      <c r="A21" s="659"/>
      <c r="B21" s="665"/>
      <c r="C21" s="91" t="s">
        <v>1463</v>
      </c>
      <c r="D21" s="91" t="s">
        <v>48</v>
      </c>
      <c r="E21" s="91">
        <v>0.1</v>
      </c>
      <c r="F21" s="58">
        <v>1</v>
      </c>
      <c r="G21" s="39">
        <v>1.25</v>
      </c>
      <c r="H21" s="364">
        <f t="shared" si="0"/>
        <v>1.125</v>
      </c>
      <c r="I21" s="364">
        <f t="shared" si="1"/>
        <v>1.375</v>
      </c>
      <c r="J21" s="91"/>
      <c r="K21" s="504"/>
      <c r="L21" s="504"/>
      <c r="M21" s="504"/>
    </row>
    <row r="22" spans="1:13" x14ac:dyDescent="0.25">
      <c r="A22" s="659"/>
      <c r="B22" s="665"/>
      <c r="C22" s="89" t="s">
        <v>1464</v>
      </c>
      <c r="D22" s="89" t="s">
        <v>49</v>
      </c>
      <c r="E22" s="89">
        <v>0.1</v>
      </c>
      <c r="F22" s="58">
        <v>0.8</v>
      </c>
      <c r="G22" s="39">
        <v>0.8</v>
      </c>
      <c r="H22" s="364">
        <f t="shared" si="0"/>
        <v>0.72</v>
      </c>
      <c r="I22" s="364">
        <f t="shared" si="1"/>
        <v>0.88000000000000012</v>
      </c>
      <c r="J22" s="91"/>
      <c r="K22" s="504"/>
      <c r="L22" s="504"/>
      <c r="M22" s="504"/>
    </row>
    <row r="23" spans="1:13" s="358" customFormat="1" ht="14.25" customHeight="1" x14ac:dyDescent="0.25">
      <c r="A23" s="659"/>
      <c r="B23" s="665" t="s">
        <v>182</v>
      </c>
      <c r="C23" s="91" t="s">
        <v>1465</v>
      </c>
      <c r="D23" s="91" t="s">
        <v>84</v>
      </c>
      <c r="E23" s="91">
        <v>0.15</v>
      </c>
      <c r="F23" s="58">
        <v>10</v>
      </c>
      <c r="G23" s="39">
        <v>10</v>
      </c>
      <c r="H23" s="364">
        <f t="shared" si="0"/>
        <v>8.5</v>
      </c>
      <c r="I23" s="364">
        <f t="shared" si="1"/>
        <v>11.5</v>
      </c>
      <c r="J23" s="91"/>
      <c r="K23" s="504"/>
      <c r="L23" s="504"/>
      <c r="M23" s="504"/>
    </row>
    <row r="24" spans="1:13" s="358" customFormat="1" x14ac:dyDescent="0.25">
      <c r="A24" s="659"/>
      <c r="B24" s="665"/>
      <c r="C24" s="91" t="s">
        <v>1466</v>
      </c>
      <c r="D24" s="91" t="s">
        <v>78</v>
      </c>
      <c r="E24" s="91">
        <v>0.15</v>
      </c>
      <c r="F24" s="58">
        <v>9.8000000000000004E-2</v>
      </c>
      <c r="G24" s="39">
        <v>9.8000000000000004E-2</v>
      </c>
      <c r="H24" s="364">
        <f t="shared" si="0"/>
        <v>8.3299999999999999E-2</v>
      </c>
      <c r="I24" s="364">
        <f t="shared" si="1"/>
        <v>0.11270000000000001</v>
      </c>
      <c r="J24" s="91"/>
      <c r="K24" s="504"/>
      <c r="L24" s="504"/>
      <c r="M24" s="504"/>
    </row>
    <row r="25" spans="1:13" s="358" customFormat="1" x14ac:dyDescent="0.25">
      <c r="A25" s="659"/>
      <c r="B25" s="665"/>
      <c r="C25" s="89" t="s">
        <v>1467</v>
      </c>
      <c r="D25" s="89" t="s">
        <v>77</v>
      </c>
      <c r="E25" s="89">
        <v>0.15</v>
      </c>
      <c r="F25" s="60">
        <v>3E-11</v>
      </c>
      <c r="G25" s="39">
        <v>3E-11</v>
      </c>
      <c r="H25" s="364">
        <f t="shared" si="0"/>
        <v>2.5499999999999999E-11</v>
      </c>
      <c r="I25" s="364">
        <f t="shared" si="1"/>
        <v>3.4499999999999997E-11</v>
      </c>
      <c r="J25" s="91"/>
      <c r="K25" s="504"/>
      <c r="L25" s="504"/>
      <c r="M25" s="504"/>
    </row>
    <row r="26" spans="1:13" s="358" customFormat="1" x14ac:dyDescent="0.25">
      <c r="A26" s="659"/>
      <c r="B26" s="665"/>
      <c r="C26" s="89" t="s">
        <v>1468</v>
      </c>
      <c r="D26" s="89" t="s">
        <v>73</v>
      </c>
      <c r="E26" s="89">
        <v>0.15</v>
      </c>
      <c r="F26" s="60">
        <v>2.8E-11</v>
      </c>
      <c r="G26" s="39">
        <v>2.8E-11</v>
      </c>
      <c r="H26" s="364">
        <f t="shared" si="0"/>
        <v>2.3800000000000001E-11</v>
      </c>
      <c r="I26" s="364">
        <f t="shared" si="1"/>
        <v>3.2200000000000003E-11</v>
      </c>
      <c r="J26" s="91"/>
      <c r="K26" s="504"/>
      <c r="L26" s="504"/>
      <c r="M26" s="504"/>
    </row>
    <row r="27" spans="1:13" s="358" customFormat="1" x14ac:dyDescent="0.25">
      <c r="A27" s="659"/>
      <c r="B27" s="665"/>
      <c r="C27" s="89" t="s">
        <v>1469</v>
      </c>
      <c r="D27" s="89" t="s">
        <v>59</v>
      </c>
      <c r="E27" s="89">
        <v>0.15</v>
      </c>
      <c r="F27" s="58">
        <v>0.02</v>
      </c>
      <c r="G27" s="39">
        <v>0.03</v>
      </c>
      <c r="H27" s="364">
        <f t="shared" si="0"/>
        <v>2.5499999999999998E-2</v>
      </c>
      <c r="I27" s="364">
        <f t="shared" si="1"/>
        <v>3.4499999999999996E-2</v>
      </c>
      <c r="J27" s="91"/>
      <c r="K27" s="504"/>
      <c r="L27" s="504"/>
      <c r="M27" s="504"/>
    </row>
    <row r="28" spans="1:13" s="358" customFormat="1" x14ac:dyDescent="0.25">
      <c r="A28" s="659"/>
      <c r="B28" s="665"/>
      <c r="C28" s="89" t="s">
        <v>1470</v>
      </c>
      <c r="D28" s="89" t="s">
        <v>56</v>
      </c>
      <c r="E28" s="89">
        <v>0.1</v>
      </c>
      <c r="F28" s="58">
        <v>1.1000000000000001</v>
      </c>
      <c r="G28" s="39">
        <v>1.375</v>
      </c>
      <c r="H28" s="364">
        <f t="shared" si="0"/>
        <v>1.2375</v>
      </c>
      <c r="I28" s="364">
        <f t="shared" si="1"/>
        <v>1.5125</v>
      </c>
      <c r="J28" s="91"/>
      <c r="K28" s="504"/>
      <c r="L28" s="504"/>
      <c r="M28" s="504"/>
    </row>
    <row r="29" spans="1:13" s="358" customFormat="1" ht="30" x14ac:dyDescent="0.25">
      <c r="A29" s="659"/>
      <c r="B29" s="665"/>
      <c r="C29" s="91" t="s">
        <v>1474</v>
      </c>
      <c r="D29" s="91" t="s">
        <v>133</v>
      </c>
      <c r="E29" s="91">
        <v>0.15</v>
      </c>
      <c r="F29" s="58">
        <v>6</v>
      </c>
      <c r="G29" s="39">
        <v>6</v>
      </c>
      <c r="H29" s="364">
        <f t="shared" si="0"/>
        <v>5.0999999999999996</v>
      </c>
      <c r="I29" s="364">
        <f t="shared" si="1"/>
        <v>6.9</v>
      </c>
      <c r="J29" s="91"/>
      <c r="K29" s="504"/>
      <c r="L29" s="504"/>
      <c r="M29" s="504"/>
    </row>
    <row r="30" spans="1:13" x14ac:dyDescent="0.25">
      <c r="A30" s="659"/>
      <c r="B30" s="665" t="s">
        <v>183</v>
      </c>
      <c r="C30" s="89" t="s">
        <v>1475</v>
      </c>
      <c r="D30" s="89" t="s">
        <v>71</v>
      </c>
      <c r="E30" s="89">
        <v>0.15</v>
      </c>
      <c r="F30" s="58">
        <v>0.04</v>
      </c>
      <c r="G30" s="39">
        <v>0.02</v>
      </c>
      <c r="H30" s="364">
        <f t="shared" si="0"/>
        <v>1.7000000000000001E-2</v>
      </c>
      <c r="I30" s="364">
        <f t="shared" si="1"/>
        <v>2.3E-2</v>
      </c>
      <c r="J30" s="91"/>
      <c r="K30" s="504"/>
      <c r="L30" s="504"/>
      <c r="M30" s="504"/>
    </row>
    <row r="31" spans="1:13" x14ac:dyDescent="0.25">
      <c r="A31" s="659"/>
      <c r="B31" s="665"/>
      <c r="C31" s="89" t="s">
        <v>1476</v>
      </c>
      <c r="D31" s="89" t="s">
        <v>75</v>
      </c>
      <c r="E31" s="89">
        <v>0.15</v>
      </c>
      <c r="F31" s="58">
        <v>0.04</v>
      </c>
      <c r="G31" s="39">
        <v>0.02</v>
      </c>
      <c r="H31" s="364">
        <f t="shared" si="0"/>
        <v>1.7000000000000001E-2</v>
      </c>
      <c r="I31" s="364">
        <f t="shared" si="1"/>
        <v>2.3E-2</v>
      </c>
      <c r="J31" s="91"/>
      <c r="K31" s="504"/>
      <c r="L31" s="504"/>
      <c r="M31" s="504"/>
    </row>
    <row r="32" spans="1:13" x14ac:dyDescent="0.25">
      <c r="A32" s="659"/>
      <c r="B32" s="665"/>
      <c r="C32" s="89" t="s">
        <v>1477</v>
      </c>
      <c r="D32" s="89" t="s">
        <v>79</v>
      </c>
      <c r="E32" s="89">
        <v>0.15</v>
      </c>
      <c r="F32" s="58">
        <v>0.04</v>
      </c>
      <c r="G32" s="39">
        <v>0.02</v>
      </c>
      <c r="H32" s="364">
        <f t="shared" si="0"/>
        <v>1.7000000000000001E-2</v>
      </c>
      <c r="I32" s="364">
        <f t="shared" si="1"/>
        <v>2.3E-2</v>
      </c>
      <c r="J32" s="91"/>
      <c r="K32" s="504"/>
      <c r="L32" s="504"/>
      <c r="M32" s="504"/>
    </row>
    <row r="33" spans="1:13" x14ac:dyDescent="0.25">
      <c r="A33" s="659"/>
      <c r="B33" s="665"/>
      <c r="C33" s="89" t="s">
        <v>1478</v>
      </c>
      <c r="D33" s="89" t="s">
        <v>53</v>
      </c>
      <c r="E33" s="89">
        <v>0.1</v>
      </c>
      <c r="F33" s="60">
        <v>500000000000</v>
      </c>
      <c r="G33" s="39">
        <v>375000000000</v>
      </c>
      <c r="H33" s="364">
        <f t="shared" si="0"/>
        <v>337500000000</v>
      </c>
      <c r="I33" s="364">
        <f t="shared" si="1"/>
        <v>412500000000</v>
      </c>
      <c r="J33" s="91"/>
      <c r="K33" s="504"/>
      <c r="L33" s="504"/>
      <c r="M33" s="504"/>
    </row>
    <row r="34" spans="1:13" x14ac:dyDescent="0.25">
      <c r="A34" s="659"/>
      <c r="B34" s="665"/>
      <c r="C34" s="91" t="s">
        <v>1479</v>
      </c>
      <c r="D34" s="91" t="s">
        <v>82</v>
      </c>
      <c r="E34" s="91">
        <v>0.15</v>
      </c>
      <c r="F34" s="58">
        <v>5</v>
      </c>
      <c r="G34" s="39">
        <v>2.5</v>
      </c>
      <c r="H34" s="364">
        <f t="shared" si="0"/>
        <v>2.125</v>
      </c>
      <c r="I34" s="364">
        <f t="shared" si="1"/>
        <v>2.875</v>
      </c>
      <c r="J34" s="91"/>
      <c r="K34" s="504"/>
      <c r="L34" s="504"/>
      <c r="M34" s="504"/>
    </row>
    <row r="35" spans="1:13" x14ac:dyDescent="0.25">
      <c r="A35" s="665"/>
      <c r="B35" s="665" t="s">
        <v>284</v>
      </c>
      <c r="C35" s="93" t="s">
        <v>1480</v>
      </c>
      <c r="D35" s="93" t="s">
        <v>171</v>
      </c>
      <c r="E35" s="157">
        <v>0.15</v>
      </c>
      <c r="F35" s="58">
        <v>400000</v>
      </c>
      <c r="G35" s="39">
        <v>200000</v>
      </c>
      <c r="H35" s="364">
        <f t="shared" si="0"/>
        <v>170000</v>
      </c>
      <c r="I35" s="364">
        <f t="shared" si="1"/>
        <v>230000</v>
      </c>
      <c r="J35" s="530"/>
      <c r="K35" s="504"/>
      <c r="L35" s="504"/>
      <c r="M35" s="504"/>
    </row>
    <row r="36" spans="1:13" x14ac:dyDescent="0.25">
      <c r="A36" s="665"/>
      <c r="B36" s="665"/>
      <c r="C36" s="91" t="s">
        <v>1481</v>
      </c>
      <c r="D36" s="91" t="s">
        <v>83</v>
      </c>
      <c r="E36" s="91">
        <v>0.15</v>
      </c>
      <c r="F36" s="58">
        <v>1000000000</v>
      </c>
      <c r="G36" s="39">
        <v>1000000000</v>
      </c>
      <c r="H36" s="364">
        <f t="shared" si="0"/>
        <v>850000000</v>
      </c>
      <c r="I36" s="364">
        <f t="shared" si="1"/>
        <v>1150000000</v>
      </c>
      <c r="J36" s="91"/>
      <c r="K36" s="504"/>
      <c r="L36" s="504"/>
      <c r="M36" s="504"/>
    </row>
    <row r="37" spans="1:13" ht="30" x14ac:dyDescent="0.25">
      <c r="A37" s="665"/>
      <c r="B37" s="665"/>
      <c r="C37" s="89" t="s">
        <v>1473</v>
      </c>
      <c r="D37" s="89" t="s">
        <v>58</v>
      </c>
      <c r="E37" s="89">
        <v>0.15</v>
      </c>
      <c r="F37" s="58">
        <v>10</v>
      </c>
      <c r="G37" s="39">
        <v>5</v>
      </c>
      <c r="H37" s="364">
        <f t="shared" si="0"/>
        <v>4.25</v>
      </c>
      <c r="I37" s="364">
        <f t="shared" si="1"/>
        <v>5.75</v>
      </c>
      <c r="J37" s="91"/>
      <c r="K37" s="504"/>
      <c r="L37" s="504"/>
      <c r="M37" s="504"/>
    </row>
    <row r="38" spans="1:13" ht="30" x14ac:dyDescent="0.25">
      <c r="A38" s="665"/>
      <c r="B38" s="665"/>
      <c r="C38" s="89" t="s">
        <v>1472</v>
      </c>
      <c r="D38" s="89" t="s">
        <v>55</v>
      </c>
      <c r="E38" s="89">
        <v>0.15</v>
      </c>
      <c r="F38" s="58">
        <v>20</v>
      </c>
      <c r="G38" s="39">
        <v>10</v>
      </c>
      <c r="H38" s="364">
        <f t="shared" si="0"/>
        <v>8.5</v>
      </c>
      <c r="I38" s="364">
        <f t="shared" si="1"/>
        <v>11.5</v>
      </c>
      <c r="J38" s="91"/>
      <c r="K38" s="504"/>
      <c r="L38" s="504"/>
      <c r="M38" s="504"/>
    </row>
    <row r="39" spans="1:13" ht="30" x14ac:dyDescent="0.25">
      <c r="A39" s="665"/>
      <c r="B39" s="665"/>
      <c r="C39" s="89" t="s">
        <v>1471</v>
      </c>
      <c r="D39" s="89" t="s">
        <v>61</v>
      </c>
      <c r="E39" s="89">
        <v>0.15</v>
      </c>
      <c r="F39" s="58">
        <v>30000000</v>
      </c>
      <c r="G39" s="39">
        <v>15000000</v>
      </c>
      <c r="H39" s="364">
        <f t="shared" si="0"/>
        <v>12750000</v>
      </c>
      <c r="I39" s="364">
        <f t="shared" si="1"/>
        <v>17250000</v>
      </c>
      <c r="J39" s="91"/>
      <c r="K39" s="504"/>
      <c r="L39" s="504"/>
      <c r="M39" s="504"/>
    </row>
    <row r="40" spans="1:13" ht="19.5" customHeight="1" x14ac:dyDescent="0.25">
      <c r="A40" s="665"/>
      <c r="B40" s="478" t="s">
        <v>285</v>
      </c>
      <c r="C40" s="89" t="s">
        <v>1482</v>
      </c>
      <c r="D40" s="89" t="s">
        <v>127</v>
      </c>
      <c r="E40" s="89">
        <v>0.15</v>
      </c>
      <c r="F40" s="58">
        <v>7500000000</v>
      </c>
      <c r="G40" s="39">
        <v>3750000000</v>
      </c>
      <c r="H40" s="364">
        <f t="shared" si="0"/>
        <v>3187500000</v>
      </c>
      <c r="I40" s="364">
        <f t="shared" si="1"/>
        <v>4312500000</v>
      </c>
      <c r="J40" s="91"/>
      <c r="K40" s="504"/>
      <c r="L40" s="504"/>
      <c r="M40" s="504"/>
    </row>
    <row r="41" spans="1:13" s="358" customFormat="1" x14ac:dyDescent="0.25">
      <c r="A41" s="659"/>
      <c r="B41" s="665" t="s">
        <v>288</v>
      </c>
      <c r="C41" s="91" t="s">
        <v>1483</v>
      </c>
      <c r="D41" s="91" t="s">
        <v>88</v>
      </c>
      <c r="E41" s="89">
        <v>0.1</v>
      </c>
      <c r="F41" s="58">
        <v>0.95</v>
      </c>
      <c r="G41" s="39">
        <v>0.85499999999999998</v>
      </c>
      <c r="H41" s="504">
        <f t="shared" si="0"/>
        <v>0.76949999999999996</v>
      </c>
      <c r="I41" s="504">
        <f t="shared" si="1"/>
        <v>0.9405</v>
      </c>
      <c r="J41" s="91"/>
      <c r="K41" s="504"/>
      <c r="L41" s="504"/>
      <c r="M41" s="504"/>
    </row>
    <row r="42" spans="1:13" s="358" customFormat="1" x14ac:dyDescent="0.25">
      <c r="A42" s="659"/>
      <c r="B42" s="665"/>
      <c r="C42" s="89" t="s">
        <v>1484</v>
      </c>
      <c r="D42" s="89" t="s">
        <v>89</v>
      </c>
      <c r="E42" s="89">
        <v>0.15</v>
      </c>
      <c r="F42" s="58">
        <v>5</v>
      </c>
      <c r="G42" s="39">
        <v>5.5</v>
      </c>
      <c r="H42" s="364">
        <f t="shared" si="0"/>
        <v>4.6749999999999998</v>
      </c>
      <c r="I42" s="364">
        <f t="shared" si="1"/>
        <v>6.3250000000000002</v>
      </c>
      <c r="J42" s="91"/>
      <c r="K42" s="504"/>
      <c r="L42" s="504"/>
      <c r="M42" s="504"/>
    </row>
    <row r="43" spans="1:13" x14ac:dyDescent="0.25">
      <c r="A43" s="659"/>
      <c r="B43" s="665" t="s">
        <v>289</v>
      </c>
      <c r="C43" s="91" t="s">
        <v>1486</v>
      </c>
      <c r="D43" s="91" t="s">
        <v>109</v>
      </c>
      <c r="E43" s="91">
        <v>0.15</v>
      </c>
      <c r="F43" s="58">
        <v>7.0000000000000007E-2</v>
      </c>
      <c r="G43" s="39">
        <v>7.0000000000000007E-2</v>
      </c>
      <c r="H43" s="364">
        <f t="shared" si="0"/>
        <v>5.9500000000000004E-2</v>
      </c>
      <c r="I43" s="364">
        <f t="shared" si="1"/>
        <v>8.0500000000000002E-2</v>
      </c>
      <c r="J43" s="91"/>
      <c r="K43" s="504"/>
      <c r="L43" s="504"/>
      <c r="M43" s="504"/>
    </row>
    <row r="44" spans="1:13" x14ac:dyDescent="0.25">
      <c r="A44" s="659"/>
      <c r="B44" s="665"/>
      <c r="C44" s="89" t="s">
        <v>1485</v>
      </c>
      <c r="D44" s="89" t="s">
        <v>107</v>
      </c>
      <c r="E44" s="89">
        <v>0.15</v>
      </c>
      <c r="F44" s="58">
        <v>0.3</v>
      </c>
      <c r="G44" s="39">
        <v>0.3</v>
      </c>
      <c r="H44" s="364">
        <f t="shared" si="0"/>
        <v>0.255</v>
      </c>
      <c r="I44" s="364">
        <f t="shared" si="1"/>
        <v>0.34499999999999997</v>
      </c>
      <c r="J44" s="91"/>
      <c r="K44" s="504"/>
      <c r="L44" s="504"/>
      <c r="M44" s="504"/>
    </row>
    <row r="45" spans="1:13" x14ac:dyDescent="0.25">
      <c r="A45" s="665"/>
      <c r="B45" s="665" t="s">
        <v>286</v>
      </c>
      <c r="C45" s="91" t="s">
        <v>1487</v>
      </c>
      <c r="D45" s="91" t="s">
        <v>115</v>
      </c>
      <c r="E45" s="91">
        <v>0.05</v>
      </c>
      <c r="F45" s="58">
        <v>1</v>
      </c>
      <c r="G45" s="39">
        <v>0.9</v>
      </c>
      <c r="H45" s="364">
        <f t="shared" si="0"/>
        <v>0.85499999999999998</v>
      </c>
      <c r="I45" s="364">
        <f t="shared" si="1"/>
        <v>0.94500000000000006</v>
      </c>
      <c r="J45" s="91"/>
      <c r="K45" s="504"/>
      <c r="L45" s="504"/>
      <c r="M45" s="504"/>
    </row>
    <row r="46" spans="1:13" x14ac:dyDescent="0.25">
      <c r="A46" s="665"/>
      <c r="B46" s="665"/>
      <c r="C46" s="91" t="s">
        <v>1488</v>
      </c>
      <c r="D46" s="91" t="s">
        <v>116</v>
      </c>
      <c r="E46" s="91">
        <v>0.05</v>
      </c>
      <c r="F46" s="58">
        <v>1</v>
      </c>
      <c r="G46" s="39">
        <v>0.9</v>
      </c>
      <c r="H46" s="364">
        <f t="shared" si="0"/>
        <v>0.85499999999999998</v>
      </c>
      <c r="I46" s="364">
        <f t="shared" si="1"/>
        <v>0.94500000000000006</v>
      </c>
      <c r="J46" s="91"/>
      <c r="K46" s="504"/>
      <c r="L46" s="504"/>
      <c r="M46" s="504"/>
    </row>
    <row r="47" spans="1:13" x14ac:dyDescent="0.25">
      <c r="A47" s="665"/>
      <c r="B47" s="665"/>
      <c r="C47" s="91" t="s">
        <v>1489</v>
      </c>
      <c r="D47" s="91" t="s">
        <v>120</v>
      </c>
      <c r="E47" s="91">
        <v>0.1</v>
      </c>
      <c r="F47" s="58">
        <v>1672.6</v>
      </c>
      <c r="G47" s="39">
        <v>1254.4499999999998</v>
      </c>
      <c r="H47" s="364">
        <f t="shared" si="0"/>
        <v>1129.0049999999999</v>
      </c>
      <c r="I47" s="364">
        <f t="shared" si="1"/>
        <v>1379.8949999999998</v>
      </c>
      <c r="J47" s="91"/>
      <c r="K47" s="504"/>
      <c r="L47" s="504"/>
      <c r="M47" s="504"/>
    </row>
    <row r="48" spans="1:13" ht="17.25" customHeight="1" x14ac:dyDescent="0.25">
      <c r="A48" s="665"/>
      <c r="B48" s="36" t="s">
        <v>287</v>
      </c>
      <c r="C48" s="91" t="s">
        <v>1490</v>
      </c>
      <c r="D48" s="91" t="s">
        <v>117</v>
      </c>
      <c r="E48" s="91">
        <v>0.1</v>
      </c>
      <c r="F48" s="58">
        <v>0.01</v>
      </c>
      <c r="G48" s="39">
        <v>7.4999999999999997E-3</v>
      </c>
      <c r="H48" s="364">
        <f t="shared" si="0"/>
        <v>6.7499999999999999E-3</v>
      </c>
      <c r="I48" s="364">
        <f t="shared" si="1"/>
        <v>8.2500000000000004E-3</v>
      </c>
      <c r="J48" s="91"/>
      <c r="K48" s="504"/>
      <c r="L48" s="504"/>
      <c r="M48" s="504"/>
    </row>
    <row r="49" spans="1:13" x14ac:dyDescent="0.25">
      <c r="A49" s="36"/>
      <c r="B49" s="36"/>
      <c r="C49" s="36"/>
      <c r="D49" s="36"/>
      <c r="E49" s="505"/>
      <c r="F49" s="362"/>
      <c r="J49" s="91"/>
      <c r="K49" s="362"/>
      <c r="L49" s="504"/>
      <c r="M49" s="504"/>
    </row>
    <row r="50" spans="1:13" x14ac:dyDescent="0.25">
      <c r="A50" s="36"/>
      <c r="B50" s="36"/>
      <c r="C50" s="36"/>
      <c r="D50" s="36"/>
      <c r="E50" s="505"/>
      <c r="F50" s="362"/>
      <c r="J50" s="91"/>
      <c r="K50" s="362"/>
      <c r="L50" s="504"/>
      <c r="M50" s="504"/>
    </row>
    <row r="51" spans="1:13" x14ac:dyDescent="0.25">
      <c r="A51" s="36"/>
      <c r="B51" s="36"/>
      <c r="C51" s="36"/>
      <c r="D51" s="36"/>
      <c r="E51" s="505"/>
      <c r="F51" s="362"/>
      <c r="J51" s="91"/>
      <c r="K51" s="362"/>
      <c r="L51" s="504"/>
      <c r="M51" s="504"/>
    </row>
    <row r="52" spans="1:13" x14ac:dyDescent="0.25">
      <c r="E52" s="505"/>
      <c r="F52" s="506"/>
      <c r="J52" s="91"/>
      <c r="K52" s="39"/>
      <c r="L52" s="504"/>
      <c r="M52" s="39"/>
    </row>
    <row r="53" spans="1:13" x14ac:dyDescent="0.25">
      <c r="E53" s="505"/>
      <c r="F53" s="506"/>
      <c r="J53" s="91"/>
      <c r="K53" s="39"/>
      <c r="L53" s="504"/>
      <c r="M53" s="39"/>
    </row>
    <row r="54" spans="1:13" x14ac:dyDescent="0.25">
      <c r="E54" s="505"/>
      <c r="F54" s="507"/>
      <c r="J54" s="91"/>
      <c r="K54" s="362"/>
      <c r="L54" s="504"/>
      <c r="M54" s="39"/>
    </row>
    <row r="55" spans="1:13" x14ac:dyDescent="0.25">
      <c r="E55" s="505"/>
      <c r="F55" s="362"/>
      <c r="J55" s="91"/>
      <c r="K55" s="362"/>
      <c r="L55" s="504"/>
      <c r="M55" s="504"/>
    </row>
    <row r="56" spans="1:13" x14ac:dyDescent="0.25">
      <c r="E56" s="505"/>
      <c r="F56" s="362"/>
      <c r="J56" s="91"/>
      <c r="K56" s="362"/>
      <c r="L56" s="504"/>
      <c r="M56" s="504"/>
    </row>
    <row r="57" spans="1:13" x14ac:dyDescent="0.25">
      <c r="J57" s="91"/>
      <c r="K57" s="362"/>
      <c r="L57" s="504"/>
      <c r="M57" s="504"/>
    </row>
    <row r="58" spans="1:13" x14ac:dyDescent="0.25">
      <c r="J58" s="91"/>
      <c r="K58" s="362"/>
      <c r="L58" s="504"/>
      <c r="M58" s="504"/>
    </row>
    <row r="59" spans="1:13" x14ac:dyDescent="0.25">
      <c r="J59" s="529"/>
      <c r="K59" s="362"/>
      <c r="L59" s="504"/>
      <c r="M59" s="504"/>
    </row>
    <row r="60" spans="1:13" x14ac:dyDescent="0.25">
      <c r="J60" s="529"/>
      <c r="K60" s="362"/>
      <c r="L60" s="504"/>
      <c r="M60" s="504"/>
    </row>
  </sheetData>
  <mergeCells count="18">
    <mergeCell ref="A45:A48"/>
    <mergeCell ref="B45:B47"/>
    <mergeCell ref="A23:A34"/>
    <mergeCell ref="B23:B29"/>
    <mergeCell ref="B30:B34"/>
    <mergeCell ref="A35:A40"/>
    <mergeCell ref="B35:B39"/>
    <mergeCell ref="A41:A44"/>
    <mergeCell ref="B41:B42"/>
    <mergeCell ref="B43:B44"/>
    <mergeCell ref="A15:A22"/>
    <mergeCell ref="B15:B16"/>
    <mergeCell ref="B17:B22"/>
    <mergeCell ref="A2:A14"/>
    <mergeCell ref="B2:B4"/>
    <mergeCell ref="B5:B10"/>
    <mergeCell ref="B11:B12"/>
    <mergeCell ref="B13:B14"/>
  </mergeCells>
  <pageMargins left="0.7" right="0.7" top="0.75" bottom="0.75" header="0.3" footer="0.3"/>
  <pageSetup paperSize="9"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80" zoomScaleNormal="80" workbookViewId="0">
      <pane xSplit="2" ySplit="1" topLeftCell="C24" activePane="bottomRight" state="frozen"/>
      <selection pane="topRight" activeCell="C1" sqref="C1"/>
      <selection pane="bottomLeft" activeCell="A2" sqref="A2"/>
      <selection pane="bottomRight" activeCell="F2" sqref="F2:F60"/>
    </sheetView>
  </sheetViews>
  <sheetFormatPr defaultColWidth="9" defaultRowHeight="15" x14ac:dyDescent="0.25"/>
  <cols>
    <col min="1" max="2" width="14.28515625" style="355" customWidth="1"/>
    <col min="3" max="3" width="63.7109375" style="355" customWidth="1"/>
    <col min="4" max="4" width="21" style="157" customWidth="1"/>
    <col min="5" max="5" width="20" style="500" bestFit="1" customWidth="1"/>
    <col min="6" max="6" width="22.42578125" style="355" customWidth="1"/>
    <col min="7" max="16384" width="9" style="355"/>
  </cols>
  <sheetData>
    <row r="1" spans="1:8" s="26" customFormat="1" ht="124.9" customHeight="1" x14ac:dyDescent="0.25">
      <c r="A1" s="356"/>
      <c r="B1" s="356"/>
      <c r="C1" s="359" t="s">
        <v>3</v>
      </c>
      <c r="D1" s="88" t="s">
        <v>465</v>
      </c>
      <c r="E1" s="364" t="s">
        <v>464</v>
      </c>
      <c r="F1" s="364" t="s">
        <v>0</v>
      </c>
      <c r="G1" s="364" t="s">
        <v>1</v>
      </c>
      <c r="H1" s="364" t="s">
        <v>2</v>
      </c>
    </row>
    <row r="2" spans="1:8" x14ac:dyDescent="0.25">
      <c r="A2" s="665"/>
      <c r="B2" s="665" t="s">
        <v>178</v>
      </c>
      <c r="C2" s="91" t="s">
        <v>7</v>
      </c>
      <c r="D2" s="91">
        <v>0.05</v>
      </c>
      <c r="E2" s="58">
        <v>0.51500000000000001</v>
      </c>
      <c r="F2" s="364">
        <v>0.5665</v>
      </c>
      <c r="G2" s="364">
        <f>F2-F2*D2</f>
        <v>0.53817499999999996</v>
      </c>
      <c r="H2" s="364">
        <f>F2+F2*D2</f>
        <v>0.59482500000000005</v>
      </c>
    </row>
    <row r="3" spans="1:8" x14ac:dyDescent="0.25">
      <c r="A3" s="665"/>
      <c r="B3" s="665"/>
      <c r="C3" s="91" t="s">
        <v>6</v>
      </c>
      <c r="D3" s="91">
        <v>0.05</v>
      </c>
      <c r="E3" s="58">
        <v>12</v>
      </c>
      <c r="F3" s="364">
        <v>10.8</v>
      </c>
      <c r="G3" s="364">
        <f>F3-F3*D3</f>
        <v>10.260000000000002</v>
      </c>
      <c r="H3" s="364">
        <f>F3+F3*D3</f>
        <v>11.34</v>
      </c>
    </row>
    <row r="4" spans="1:8" x14ac:dyDescent="0.25">
      <c r="A4" s="665"/>
      <c r="B4" s="665"/>
      <c r="C4" s="91" t="s">
        <v>5</v>
      </c>
      <c r="D4" s="91">
        <v>0.05</v>
      </c>
      <c r="E4" s="58">
        <v>28</v>
      </c>
      <c r="F4" s="364">
        <v>30.8</v>
      </c>
      <c r="G4" s="364">
        <f>F4-F4*D4</f>
        <v>29.26</v>
      </c>
      <c r="H4" s="364">
        <f>F4+F4*D4</f>
        <v>32.340000000000003</v>
      </c>
    </row>
    <row r="5" spans="1:8" s="358" customFormat="1" x14ac:dyDescent="0.25">
      <c r="A5" s="665"/>
      <c r="B5" s="665" t="s">
        <v>179</v>
      </c>
      <c r="C5" s="365" t="s">
        <v>33</v>
      </c>
      <c r="D5" s="365">
        <v>0.15</v>
      </c>
      <c r="E5" s="59">
        <v>0</v>
      </c>
      <c r="F5" s="503">
        <v>7.5000000000000002E-4</v>
      </c>
      <c r="G5" s="503">
        <v>6.3750000000000005E-4</v>
      </c>
      <c r="H5" s="503">
        <v>7.5000000000000002E-4</v>
      </c>
    </row>
    <row r="6" spans="1:8" s="358" customFormat="1" x14ac:dyDescent="0.25">
      <c r="A6" s="665"/>
      <c r="B6" s="665"/>
      <c r="C6" s="365" t="s">
        <v>34</v>
      </c>
      <c r="D6" s="365">
        <v>0.15</v>
      </c>
      <c r="E6" s="59">
        <v>0</v>
      </c>
      <c r="F6" s="503">
        <v>5.0000000000000001E-4</v>
      </c>
      <c r="G6" s="503">
        <v>4.2500000000000003E-4</v>
      </c>
      <c r="H6" s="503">
        <v>5.0000000000000001E-4</v>
      </c>
    </row>
    <row r="7" spans="1:8" s="358" customFormat="1" x14ac:dyDescent="0.25">
      <c r="A7" s="665"/>
      <c r="B7" s="665"/>
      <c r="C7" s="365" t="s">
        <v>35</v>
      </c>
      <c r="D7" s="365">
        <v>0.15</v>
      </c>
      <c r="E7" s="59">
        <v>0</v>
      </c>
      <c r="F7" s="503">
        <v>2.5000000000000001E-4</v>
      </c>
      <c r="G7" s="503">
        <v>2.1250000000000002E-4</v>
      </c>
      <c r="H7" s="503">
        <v>2.5000000000000001E-4</v>
      </c>
    </row>
    <row r="8" spans="1:8" x14ac:dyDescent="0.25">
      <c r="A8" s="665"/>
      <c r="B8" s="665"/>
      <c r="C8" s="365" t="s">
        <v>36</v>
      </c>
      <c r="D8" s="365">
        <v>0.15</v>
      </c>
      <c r="E8" s="59">
        <v>0</v>
      </c>
      <c r="F8" s="503">
        <v>5.0000000000000001E-4</v>
      </c>
      <c r="G8" s="503">
        <v>4.2500000000000003E-4</v>
      </c>
      <c r="H8" s="503">
        <v>5.0000000000000001E-4</v>
      </c>
    </row>
    <row r="9" spans="1:8" x14ac:dyDescent="0.25">
      <c r="A9" s="665"/>
      <c r="B9" s="665"/>
      <c r="C9" s="365" t="s">
        <v>37</v>
      </c>
      <c r="D9" s="365">
        <v>0.15</v>
      </c>
      <c r="E9" s="59">
        <v>0</v>
      </c>
      <c r="F9" s="503">
        <v>6.4999999999999997E-3</v>
      </c>
      <c r="G9" s="503">
        <v>5.5249999999999995E-3</v>
      </c>
      <c r="H9" s="503">
        <v>6.4999999999999997E-3</v>
      </c>
    </row>
    <row r="10" spans="1:8" x14ac:dyDescent="0.25">
      <c r="A10" s="665"/>
      <c r="B10" s="665"/>
      <c r="C10" s="365" t="s">
        <v>38</v>
      </c>
      <c r="D10" s="365">
        <v>0.15</v>
      </c>
      <c r="E10" s="59">
        <v>0</v>
      </c>
      <c r="F10" s="503">
        <v>6.4000000000000003E-3</v>
      </c>
      <c r="G10" s="503">
        <v>5.4400000000000004E-3</v>
      </c>
      <c r="H10" s="503">
        <v>6.4000000000000003E-3</v>
      </c>
    </row>
    <row r="11" spans="1:8" s="358" customFormat="1" x14ac:dyDescent="0.25">
      <c r="A11" s="665"/>
      <c r="B11" s="665" t="s">
        <v>10</v>
      </c>
      <c r="C11" s="91" t="s">
        <v>39</v>
      </c>
      <c r="D11" s="91">
        <v>0.1</v>
      </c>
      <c r="E11" s="58">
        <v>0.35</v>
      </c>
      <c r="F11" s="504">
        <v>0.4375</v>
      </c>
      <c r="G11" s="364">
        <f t="shared" ref="G11:G48" si="0">F11-F11*D11</f>
        <v>0.39374999999999999</v>
      </c>
      <c r="H11" s="364">
        <f t="shared" ref="H11:H48" si="1">F11+F11*D11</f>
        <v>0.48125000000000001</v>
      </c>
    </row>
    <row r="12" spans="1:8" s="358" customFormat="1" x14ac:dyDescent="0.25">
      <c r="A12" s="665"/>
      <c r="B12" s="665"/>
      <c r="C12" s="91" t="s">
        <v>40</v>
      </c>
      <c r="D12" s="91">
        <v>0.1</v>
      </c>
      <c r="E12" s="58">
        <v>0.75</v>
      </c>
      <c r="F12" s="504">
        <v>0.9375</v>
      </c>
      <c r="G12" s="364">
        <f t="shared" si="0"/>
        <v>0.84375</v>
      </c>
      <c r="H12" s="364">
        <f t="shared" si="1"/>
        <v>1.03125</v>
      </c>
    </row>
    <row r="13" spans="1:8" s="358" customFormat="1" x14ac:dyDescent="0.25">
      <c r="A13" s="665"/>
      <c r="B13" s="665" t="s">
        <v>180</v>
      </c>
      <c r="C13" s="89" t="s">
        <v>97</v>
      </c>
      <c r="D13" s="89">
        <v>0.15</v>
      </c>
      <c r="E13" s="58">
        <v>1.25</v>
      </c>
      <c r="F13" s="504">
        <v>0.625</v>
      </c>
      <c r="G13" s="364">
        <f t="shared" si="0"/>
        <v>0.53125</v>
      </c>
      <c r="H13" s="364">
        <f t="shared" si="1"/>
        <v>0.71875</v>
      </c>
    </row>
    <row r="14" spans="1:8" x14ac:dyDescent="0.25">
      <c r="A14" s="665"/>
      <c r="B14" s="665"/>
      <c r="C14" s="89" t="s">
        <v>98</v>
      </c>
      <c r="D14" s="89">
        <v>0.15</v>
      </c>
      <c r="E14" s="58">
        <v>5</v>
      </c>
      <c r="F14" s="364">
        <v>7.5</v>
      </c>
      <c r="G14" s="364">
        <f t="shared" si="0"/>
        <v>6.375</v>
      </c>
      <c r="H14" s="364">
        <f t="shared" si="1"/>
        <v>8.625</v>
      </c>
    </row>
    <row r="15" spans="1:8" x14ac:dyDescent="0.25">
      <c r="A15" s="659"/>
      <c r="B15" s="665" t="s">
        <v>240</v>
      </c>
      <c r="C15" s="91" t="s">
        <v>50</v>
      </c>
      <c r="D15" s="91">
        <v>0.1</v>
      </c>
      <c r="E15" s="58">
        <v>1</v>
      </c>
      <c r="F15" s="364">
        <v>0.75</v>
      </c>
      <c r="G15" s="364">
        <f t="shared" si="0"/>
        <v>0.67500000000000004</v>
      </c>
      <c r="H15" s="364">
        <f t="shared" si="1"/>
        <v>0.82499999999999996</v>
      </c>
    </row>
    <row r="16" spans="1:8" x14ac:dyDescent="0.25">
      <c r="A16" s="659"/>
      <c r="B16" s="665"/>
      <c r="C16" s="91" t="s">
        <v>85</v>
      </c>
      <c r="D16" s="91">
        <v>0.15</v>
      </c>
      <c r="E16" s="58">
        <v>2</v>
      </c>
      <c r="F16" s="364">
        <v>3</v>
      </c>
      <c r="G16" s="364">
        <f t="shared" si="0"/>
        <v>2.5499999999999998</v>
      </c>
      <c r="H16" s="364">
        <f t="shared" si="1"/>
        <v>3.45</v>
      </c>
    </row>
    <row r="17" spans="1:8" x14ac:dyDescent="0.25">
      <c r="A17" s="659"/>
      <c r="B17" s="665" t="s">
        <v>181</v>
      </c>
      <c r="C17" s="89" t="s">
        <v>44</v>
      </c>
      <c r="D17" s="89">
        <v>0.1</v>
      </c>
      <c r="E17" s="58">
        <v>1.9999999999999999E-6</v>
      </c>
      <c r="F17" s="364">
        <v>2.4999999999999998E-6</v>
      </c>
      <c r="G17" s="364">
        <f t="shared" si="0"/>
        <v>2.2499999999999996E-6</v>
      </c>
      <c r="H17" s="364">
        <f t="shared" si="1"/>
        <v>2.7499999999999999E-6</v>
      </c>
    </row>
    <row r="18" spans="1:8" x14ac:dyDescent="0.25">
      <c r="A18" s="659"/>
      <c r="B18" s="665"/>
      <c r="C18" s="89" t="s">
        <v>45</v>
      </c>
      <c r="D18" s="89">
        <v>0.1</v>
      </c>
      <c r="E18" s="58">
        <v>0.6</v>
      </c>
      <c r="F18" s="364">
        <v>0.44999999999999996</v>
      </c>
      <c r="G18" s="364">
        <f t="shared" si="0"/>
        <v>0.40499999999999997</v>
      </c>
      <c r="H18" s="364">
        <f t="shared" si="1"/>
        <v>0.49499999999999994</v>
      </c>
    </row>
    <row r="19" spans="1:8" x14ac:dyDescent="0.25">
      <c r="A19" s="659"/>
      <c r="B19" s="665"/>
      <c r="C19" s="89" t="s">
        <v>46</v>
      </c>
      <c r="D19" s="89">
        <v>0.1</v>
      </c>
      <c r="E19" s="58">
        <v>0.54</v>
      </c>
      <c r="F19" s="364">
        <v>0.40500000000000003</v>
      </c>
      <c r="G19" s="364">
        <f t="shared" si="0"/>
        <v>0.36450000000000005</v>
      </c>
      <c r="H19" s="364">
        <f t="shared" si="1"/>
        <v>0.44550000000000001</v>
      </c>
    </row>
    <row r="20" spans="1:8" x14ac:dyDescent="0.25">
      <c r="A20" s="659"/>
      <c r="B20" s="665"/>
      <c r="C20" s="89" t="s">
        <v>47</v>
      </c>
      <c r="D20" s="89">
        <v>0.1</v>
      </c>
      <c r="E20" s="58">
        <v>0.89</v>
      </c>
      <c r="F20" s="364">
        <v>0.66749999999999998</v>
      </c>
      <c r="G20" s="364">
        <f t="shared" si="0"/>
        <v>0.60075000000000001</v>
      </c>
      <c r="H20" s="364">
        <f t="shared" si="1"/>
        <v>0.73424999999999996</v>
      </c>
    </row>
    <row r="21" spans="1:8" x14ac:dyDescent="0.25">
      <c r="A21" s="659"/>
      <c r="B21" s="665"/>
      <c r="C21" s="91" t="s">
        <v>48</v>
      </c>
      <c r="D21" s="91">
        <v>0.1</v>
      </c>
      <c r="E21" s="58">
        <v>1</v>
      </c>
      <c r="F21" s="364">
        <v>1.25</v>
      </c>
      <c r="G21" s="364">
        <f t="shared" si="0"/>
        <v>1.125</v>
      </c>
      <c r="H21" s="364">
        <f t="shared" si="1"/>
        <v>1.375</v>
      </c>
    </row>
    <row r="22" spans="1:8" x14ac:dyDescent="0.25">
      <c r="A22" s="659"/>
      <c r="B22" s="665"/>
      <c r="C22" s="89" t="s">
        <v>49</v>
      </c>
      <c r="D22" s="89">
        <v>0.1</v>
      </c>
      <c r="E22" s="58">
        <v>0.8</v>
      </c>
      <c r="F22" s="364">
        <v>0.8</v>
      </c>
      <c r="G22" s="364">
        <f t="shared" si="0"/>
        <v>0.72</v>
      </c>
      <c r="H22" s="364">
        <f t="shared" si="1"/>
        <v>0.88000000000000012</v>
      </c>
    </row>
    <row r="23" spans="1:8" s="358" customFormat="1" ht="14.25" customHeight="1" x14ac:dyDescent="0.25">
      <c r="A23" s="659"/>
      <c r="B23" s="665" t="s">
        <v>182</v>
      </c>
      <c r="C23" s="91" t="s">
        <v>84</v>
      </c>
      <c r="D23" s="91">
        <v>0.15</v>
      </c>
      <c r="E23" s="58">
        <v>10</v>
      </c>
      <c r="F23" s="504">
        <v>10</v>
      </c>
      <c r="G23" s="364">
        <f t="shared" si="0"/>
        <v>8.5</v>
      </c>
      <c r="H23" s="364">
        <f t="shared" si="1"/>
        <v>11.5</v>
      </c>
    </row>
    <row r="24" spans="1:8" s="358" customFormat="1" x14ac:dyDescent="0.25">
      <c r="A24" s="659"/>
      <c r="B24" s="665"/>
      <c r="C24" s="91" t="s">
        <v>78</v>
      </c>
      <c r="D24" s="91">
        <v>0.15</v>
      </c>
      <c r="E24" s="58">
        <v>9.8000000000000004E-2</v>
      </c>
      <c r="F24" s="504">
        <v>4.9000000000000002E-2</v>
      </c>
      <c r="G24" s="364">
        <f t="shared" si="0"/>
        <v>4.165E-2</v>
      </c>
      <c r="H24" s="364">
        <f t="shared" si="1"/>
        <v>5.6350000000000004E-2</v>
      </c>
    </row>
    <row r="25" spans="1:8" s="358" customFormat="1" x14ac:dyDescent="0.25">
      <c r="A25" s="659"/>
      <c r="B25" s="665"/>
      <c r="C25" s="89" t="s">
        <v>77</v>
      </c>
      <c r="D25" s="89">
        <v>0.15</v>
      </c>
      <c r="E25" s="60">
        <v>3E-11</v>
      </c>
      <c r="F25" s="504">
        <v>1.5E-11</v>
      </c>
      <c r="G25" s="364">
        <f t="shared" si="0"/>
        <v>1.275E-11</v>
      </c>
      <c r="H25" s="364">
        <f t="shared" si="1"/>
        <v>1.7249999999999999E-11</v>
      </c>
    </row>
    <row r="26" spans="1:8" s="358" customFormat="1" x14ac:dyDescent="0.25">
      <c r="A26" s="659"/>
      <c r="B26" s="665"/>
      <c r="C26" s="89" t="s">
        <v>73</v>
      </c>
      <c r="D26" s="89">
        <v>0.15</v>
      </c>
      <c r="E26" s="60">
        <v>2.8E-11</v>
      </c>
      <c r="F26" s="504">
        <v>1.4E-11</v>
      </c>
      <c r="G26" s="364">
        <f t="shared" si="0"/>
        <v>1.1900000000000001E-11</v>
      </c>
      <c r="H26" s="364">
        <f t="shared" si="1"/>
        <v>1.6100000000000001E-11</v>
      </c>
    </row>
    <row r="27" spans="1:8" s="358" customFormat="1" x14ac:dyDescent="0.25">
      <c r="A27" s="659"/>
      <c r="B27" s="665"/>
      <c r="C27" s="89" t="s">
        <v>59</v>
      </c>
      <c r="D27" s="89">
        <v>0.15</v>
      </c>
      <c r="E27" s="58">
        <v>0.02</v>
      </c>
      <c r="F27" s="504">
        <v>0.03</v>
      </c>
      <c r="G27" s="364">
        <f t="shared" si="0"/>
        <v>2.5499999999999998E-2</v>
      </c>
      <c r="H27" s="364">
        <f t="shared" si="1"/>
        <v>3.4499999999999996E-2</v>
      </c>
    </row>
    <row r="28" spans="1:8" s="358" customFormat="1" x14ac:dyDescent="0.25">
      <c r="A28" s="659"/>
      <c r="B28" s="665"/>
      <c r="C28" s="89" t="s">
        <v>56</v>
      </c>
      <c r="D28" s="89">
        <v>0.1</v>
      </c>
      <c r="E28" s="58">
        <v>1.1000000000000001</v>
      </c>
      <c r="F28" s="504">
        <v>1.375</v>
      </c>
      <c r="G28" s="364">
        <f t="shared" si="0"/>
        <v>1.2375</v>
      </c>
      <c r="H28" s="364">
        <f t="shared" si="1"/>
        <v>1.5125</v>
      </c>
    </row>
    <row r="29" spans="1:8" s="358" customFormat="1" ht="30" x14ac:dyDescent="0.25">
      <c r="A29" s="659"/>
      <c r="B29" s="665"/>
      <c r="C29" s="91" t="s">
        <v>133</v>
      </c>
      <c r="D29" s="91">
        <v>0.15</v>
      </c>
      <c r="E29" s="58">
        <v>6</v>
      </c>
      <c r="F29" s="504">
        <v>6</v>
      </c>
      <c r="G29" s="364">
        <f t="shared" si="0"/>
        <v>5.0999999999999996</v>
      </c>
      <c r="H29" s="364">
        <f t="shared" si="1"/>
        <v>6.9</v>
      </c>
    </row>
    <row r="30" spans="1:8" x14ac:dyDescent="0.25">
      <c r="A30" s="659"/>
      <c r="B30" s="665" t="s">
        <v>183</v>
      </c>
      <c r="C30" s="89" t="s">
        <v>71</v>
      </c>
      <c r="D30" s="89">
        <v>0.15</v>
      </c>
      <c r="E30" s="58">
        <v>0.04</v>
      </c>
      <c r="F30" s="364">
        <v>0.02</v>
      </c>
      <c r="G30" s="364">
        <f t="shared" si="0"/>
        <v>1.7000000000000001E-2</v>
      </c>
      <c r="H30" s="364">
        <f t="shared" si="1"/>
        <v>2.3E-2</v>
      </c>
    </row>
    <row r="31" spans="1:8" x14ac:dyDescent="0.25">
      <c r="A31" s="659"/>
      <c r="B31" s="665"/>
      <c r="C31" s="89" t="s">
        <v>75</v>
      </c>
      <c r="D31" s="89">
        <v>0.15</v>
      </c>
      <c r="E31" s="58">
        <v>0.04</v>
      </c>
      <c r="F31" s="364">
        <v>0.02</v>
      </c>
      <c r="G31" s="364">
        <f t="shared" si="0"/>
        <v>1.7000000000000001E-2</v>
      </c>
      <c r="H31" s="364">
        <f t="shared" si="1"/>
        <v>2.3E-2</v>
      </c>
    </row>
    <row r="32" spans="1:8" x14ac:dyDescent="0.25">
      <c r="A32" s="659"/>
      <c r="B32" s="665"/>
      <c r="C32" s="89" t="s">
        <v>79</v>
      </c>
      <c r="D32" s="89">
        <v>0.15</v>
      </c>
      <c r="E32" s="58">
        <v>0.04</v>
      </c>
      <c r="F32" s="364">
        <v>0.02</v>
      </c>
      <c r="G32" s="364">
        <f t="shared" si="0"/>
        <v>1.7000000000000001E-2</v>
      </c>
      <c r="H32" s="364">
        <f t="shared" si="1"/>
        <v>2.3E-2</v>
      </c>
    </row>
    <row r="33" spans="1:8" x14ac:dyDescent="0.25">
      <c r="A33" s="659"/>
      <c r="B33" s="665"/>
      <c r="C33" s="89" t="s">
        <v>53</v>
      </c>
      <c r="D33" s="89">
        <v>0.1</v>
      </c>
      <c r="E33" s="60">
        <v>500000000000</v>
      </c>
      <c r="F33" s="364">
        <v>625000000000</v>
      </c>
      <c r="G33" s="364">
        <f t="shared" si="0"/>
        <v>562500000000</v>
      </c>
      <c r="H33" s="364">
        <f t="shared" si="1"/>
        <v>687500000000</v>
      </c>
    </row>
    <row r="34" spans="1:8" x14ac:dyDescent="0.25">
      <c r="A34" s="659"/>
      <c r="B34" s="665"/>
      <c r="C34" s="91" t="s">
        <v>82</v>
      </c>
      <c r="D34" s="91">
        <v>0.15</v>
      </c>
      <c r="E34" s="58">
        <v>5</v>
      </c>
      <c r="F34" s="364">
        <v>7.5</v>
      </c>
      <c r="G34" s="364">
        <f t="shared" si="0"/>
        <v>6.375</v>
      </c>
      <c r="H34" s="364">
        <f t="shared" si="1"/>
        <v>8.625</v>
      </c>
    </row>
    <row r="35" spans="1:8" x14ac:dyDescent="0.25">
      <c r="A35" s="665"/>
      <c r="B35" s="665" t="s">
        <v>284</v>
      </c>
      <c r="C35" s="93" t="s">
        <v>171</v>
      </c>
      <c r="D35" s="157">
        <v>0.15</v>
      </c>
      <c r="E35" s="58">
        <v>400000</v>
      </c>
      <c r="F35" s="364">
        <v>200000</v>
      </c>
      <c r="G35" s="364">
        <f t="shared" si="0"/>
        <v>170000</v>
      </c>
      <c r="H35" s="364">
        <f t="shared" si="1"/>
        <v>230000</v>
      </c>
    </row>
    <row r="36" spans="1:8" x14ac:dyDescent="0.25">
      <c r="A36" s="665"/>
      <c r="B36" s="665"/>
      <c r="C36" s="91" t="s">
        <v>83</v>
      </c>
      <c r="D36" s="91">
        <v>0.15</v>
      </c>
      <c r="E36" s="58">
        <v>1000000000</v>
      </c>
      <c r="F36" s="364">
        <v>1000000000</v>
      </c>
      <c r="G36" s="364">
        <f t="shared" si="0"/>
        <v>850000000</v>
      </c>
      <c r="H36" s="364">
        <f t="shared" si="1"/>
        <v>1150000000</v>
      </c>
    </row>
    <row r="37" spans="1:8" ht="30" x14ac:dyDescent="0.25">
      <c r="A37" s="665"/>
      <c r="B37" s="665"/>
      <c r="C37" s="89" t="s">
        <v>58</v>
      </c>
      <c r="D37" s="89">
        <v>0.15</v>
      </c>
      <c r="E37" s="58">
        <v>10</v>
      </c>
      <c r="F37" s="364">
        <v>5</v>
      </c>
      <c r="G37" s="364">
        <f t="shared" si="0"/>
        <v>4.25</v>
      </c>
      <c r="H37" s="364">
        <f t="shared" si="1"/>
        <v>5.75</v>
      </c>
    </row>
    <row r="38" spans="1:8" ht="30" x14ac:dyDescent="0.25">
      <c r="A38" s="665"/>
      <c r="B38" s="665"/>
      <c r="C38" s="89" t="s">
        <v>55</v>
      </c>
      <c r="D38" s="89">
        <v>0.15</v>
      </c>
      <c r="E38" s="58">
        <v>20</v>
      </c>
      <c r="F38" s="364">
        <v>10</v>
      </c>
      <c r="G38" s="364">
        <f t="shared" si="0"/>
        <v>8.5</v>
      </c>
      <c r="H38" s="364">
        <f t="shared" si="1"/>
        <v>11.5</v>
      </c>
    </row>
    <row r="39" spans="1:8" ht="30" x14ac:dyDescent="0.25">
      <c r="A39" s="665"/>
      <c r="B39" s="665"/>
      <c r="C39" s="89" t="s">
        <v>61</v>
      </c>
      <c r="D39" s="89">
        <v>0.15</v>
      </c>
      <c r="E39" s="58">
        <v>30000000</v>
      </c>
      <c r="F39" s="364">
        <v>15000000</v>
      </c>
      <c r="G39" s="364">
        <f t="shared" si="0"/>
        <v>12750000</v>
      </c>
      <c r="H39" s="364">
        <f t="shared" si="1"/>
        <v>17250000</v>
      </c>
    </row>
    <row r="40" spans="1:8" ht="19.5" customHeight="1" x14ac:dyDescent="0.25">
      <c r="A40" s="665"/>
      <c r="B40" s="498" t="s">
        <v>285</v>
      </c>
      <c r="C40" s="89" t="s">
        <v>127</v>
      </c>
      <c r="D40" s="89">
        <v>0.15</v>
      </c>
      <c r="E40" s="58">
        <v>7500000000</v>
      </c>
      <c r="F40" s="364">
        <v>3750000000</v>
      </c>
      <c r="G40" s="364">
        <f t="shared" si="0"/>
        <v>3187500000</v>
      </c>
      <c r="H40" s="364">
        <f t="shared" si="1"/>
        <v>4312500000</v>
      </c>
    </row>
    <row r="41" spans="1:8" s="358" customFormat="1" x14ac:dyDescent="0.25">
      <c r="A41" s="659"/>
      <c r="B41" s="665" t="s">
        <v>288</v>
      </c>
      <c r="C41" s="91" t="s">
        <v>88</v>
      </c>
      <c r="D41" s="89">
        <v>0.1</v>
      </c>
      <c r="E41" s="58">
        <v>0.95</v>
      </c>
      <c r="F41" s="504">
        <v>0.85499999999999998</v>
      </c>
      <c r="G41" s="364">
        <f t="shared" si="0"/>
        <v>0.76949999999999996</v>
      </c>
      <c r="H41" s="364">
        <f t="shared" si="1"/>
        <v>0.9405</v>
      </c>
    </row>
    <row r="42" spans="1:8" s="358" customFormat="1" x14ac:dyDescent="0.25">
      <c r="A42" s="659"/>
      <c r="B42" s="665"/>
      <c r="C42" s="89" t="s">
        <v>89</v>
      </c>
      <c r="D42" s="89">
        <v>0.15</v>
      </c>
      <c r="E42" s="58">
        <v>5</v>
      </c>
      <c r="F42" s="504">
        <v>5.5</v>
      </c>
      <c r="G42" s="364">
        <f t="shared" si="0"/>
        <v>4.6749999999999998</v>
      </c>
      <c r="H42" s="364">
        <f t="shared" si="1"/>
        <v>6.3250000000000002</v>
      </c>
    </row>
    <row r="43" spans="1:8" x14ac:dyDescent="0.25">
      <c r="A43" s="659"/>
      <c r="B43" s="665" t="s">
        <v>289</v>
      </c>
      <c r="C43" s="91" t="s">
        <v>109</v>
      </c>
      <c r="D43" s="91">
        <v>0.15</v>
      </c>
      <c r="E43" s="58">
        <v>7.0000000000000007E-2</v>
      </c>
      <c r="F43" s="364">
        <v>0.10500000000000001</v>
      </c>
      <c r="G43" s="364">
        <f t="shared" si="0"/>
        <v>8.925000000000001E-2</v>
      </c>
      <c r="H43" s="364">
        <f t="shared" si="1"/>
        <v>0.12075000000000001</v>
      </c>
    </row>
    <row r="44" spans="1:8" x14ac:dyDescent="0.25">
      <c r="A44" s="659"/>
      <c r="B44" s="665"/>
      <c r="C44" s="89" t="s">
        <v>107</v>
      </c>
      <c r="D44" s="89">
        <v>0.15</v>
      </c>
      <c r="E44" s="58">
        <v>0.3</v>
      </c>
      <c r="F44" s="364">
        <v>0.44999999999999996</v>
      </c>
      <c r="G44" s="364">
        <f t="shared" si="0"/>
        <v>0.38249999999999995</v>
      </c>
      <c r="H44" s="364">
        <f t="shared" si="1"/>
        <v>0.51749999999999996</v>
      </c>
    </row>
    <row r="45" spans="1:8" x14ac:dyDescent="0.25">
      <c r="A45" s="665"/>
      <c r="B45" s="665" t="s">
        <v>286</v>
      </c>
      <c r="C45" s="91" t="s">
        <v>115</v>
      </c>
      <c r="D45" s="91">
        <v>0.05</v>
      </c>
      <c r="E45" s="58">
        <v>1</v>
      </c>
      <c r="F45" s="364">
        <v>0.9</v>
      </c>
      <c r="G45" s="364">
        <f t="shared" si="0"/>
        <v>0.85499999999999998</v>
      </c>
      <c r="H45" s="364">
        <f t="shared" si="1"/>
        <v>0.94500000000000006</v>
      </c>
    </row>
    <row r="46" spans="1:8" x14ac:dyDescent="0.25">
      <c r="A46" s="665"/>
      <c r="B46" s="665"/>
      <c r="C46" s="91" t="s">
        <v>116</v>
      </c>
      <c r="D46" s="91">
        <v>0.05</v>
      </c>
      <c r="E46" s="58">
        <v>1</v>
      </c>
      <c r="F46" s="364">
        <v>0.9</v>
      </c>
      <c r="G46" s="364">
        <f t="shared" si="0"/>
        <v>0.85499999999999998</v>
      </c>
      <c r="H46" s="364">
        <f t="shared" si="1"/>
        <v>0.94500000000000006</v>
      </c>
    </row>
    <row r="47" spans="1:8" x14ac:dyDescent="0.25">
      <c r="A47" s="665"/>
      <c r="B47" s="665"/>
      <c r="C47" s="91" t="s">
        <v>120</v>
      </c>
      <c r="D47" s="91">
        <v>0.1</v>
      </c>
      <c r="E47" s="58">
        <v>1672.6</v>
      </c>
      <c r="F47" s="364">
        <v>1254.4499999999998</v>
      </c>
      <c r="G47" s="364">
        <f t="shared" si="0"/>
        <v>1129.0049999999999</v>
      </c>
      <c r="H47" s="364">
        <f t="shared" si="1"/>
        <v>1379.8949999999998</v>
      </c>
    </row>
    <row r="48" spans="1:8" ht="17.25" customHeight="1" x14ac:dyDescent="0.25">
      <c r="A48" s="665"/>
      <c r="B48" s="36" t="s">
        <v>287</v>
      </c>
      <c r="C48" s="91" t="s">
        <v>117</v>
      </c>
      <c r="D48" s="91">
        <v>0.1</v>
      </c>
      <c r="E48" s="58">
        <v>0.01</v>
      </c>
      <c r="F48" s="364">
        <v>7.4999999999999997E-3</v>
      </c>
      <c r="G48" s="364">
        <f t="shared" si="0"/>
        <v>6.7499999999999999E-3</v>
      </c>
      <c r="H48" s="364">
        <f t="shared" si="1"/>
        <v>8.2500000000000004E-3</v>
      </c>
    </row>
    <row r="49" spans="1:8" x14ac:dyDescent="0.25">
      <c r="A49" s="36"/>
      <c r="B49" s="36"/>
      <c r="C49" s="365" t="s">
        <v>1441</v>
      </c>
      <c r="D49" s="505"/>
      <c r="E49" s="363">
        <v>3</v>
      </c>
      <c r="F49" s="363">
        <v>3</v>
      </c>
      <c r="G49" s="503">
        <v>1</v>
      </c>
      <c r="H49" s="503">
        <v>5</v>
      </c>
    </row>
    <row r="50" spans="1:8" x14ac:dyDescent="0.25">
      <c r="A50" s="36"/>
      <c r="B50" s="36"/>
      <c r="C50" s="365" t="s">
        <v>1442</v>
      </c>
      <c r="D50" s="505"/>
      <c r="E50" s="363">
        <v>3</v>
      </c>
      <c r="F50" s="363">
        <v>3</v>
      </c>
      <c r="G50" s="503">
        <v>1</v>
      </c>
      <c r="H50" s="503">
        <v>5</v>
      </c>
    </row>
    <row r="51" spans="1:8" x14ac:dyDescent="0.25">
      <c r="A51" s="36"/>
      <c r="B51" s="36"/>
      <c r="C51" s="365" t="s">
        <v>1443</v>
      </c>
      <c r="D51" s="505"/>
      <c r="E51" s="363">
        <v>3</v>
      </c>
      <c r="F51" s="363">
        <v>3</v>
      </c>
      <c r="G51" s="503">
        <v>1</v>
      </c>
      <c r="H51" s="503">
        <v>5</v>
      </c>
    </row>
    <row r="52" spans="1:8" x14ac:dyDescent="0.25">
      <c r="C52" s="365" t="s">
        <v>1060</v>
      </c>
      <c r="D52" s="505"/>
      <c r="E52" s="66">
        <v>1</v>
      </c>
      <c r="F52" s="66">
        <v>1</v>
      </c>
      <c r="G52" s="503">
        <v>1</v>
      </c>
      <c r="H52" s="66">
        <v>1.99</v>
      </c>
    </row>
    <row r="53" spans="1:8" x14ac:dyDescent="0.25">
      <c r="C53" s="365" t="s">
        <v>1061</v>
      </c>
      <c r="D53" s="505"/>
      <c r="E53" s="66">
        <v>1</v>
      </c>
      <c r="F53" s="66">
        <v>1</v>
      </c>
      <c r="G53" s="503">
        <v>1</v>
      </c>
      <c r="H53" s="66">
        <v>1.99</v>
      </c>
    </row>
    <row r="54" spans="1:8" x14ac:dyDescent="0.25">
      <c r="C54" s="365" t="s">
        <v>134</v>
      </c>
      <c r="D54" s="505"/>
      <c r="E54" s="363">
        <v>4</v>
      </c>
      <c r="F54" s="363">
        <v>4</v>
      </c>
      <c r="G54" s="503">
        <v>3</v>
      </c>
      <c r="H54" s="66">
        <v>4.99</v>
      </c>
    </row>
    <row r="55" spans="1:8" x14ac:dyDescent="0.25">
      <c r="C55" s="365" t="s">
        <v>1190</v>
      </c>
      <c r="D55" s="505"/>
      <c r="E55" s="363">
        <v>20</v>
      </c>
      <c r="F55" s="363">
        <v>20</v>
      </c>
      <c r="G55" s="503">
        <v>5</v>
      </c>
      <c r="H55" s="503">
        <v>20</v>
      </c>
    </row>
    <row r="56" spans="1:8" x14ac:dyDescent="0.25">
      <c r="C56" s="365" t="s">
        <v>1191</v>
      </c>
      <c r="D56" s="505"/>
      <c r="E56" s="363">
        <v>20</v>
      </c>
      <c r="F56" s="363">
        <v>20</v>
      </c>
      <c r="G56" s="503">
        <v>5</v>
      </c>
      <c r="H56" s="503">
        <v>20</v>
      </c>
    </row>
    <row r="57" spans="1:8" x14ac:dyDescent="0.25">
      <c r="C57" s="365" t="s">
        <v>1192</v>
      </c>
      <c r="E57" s="363">
        <v>20</v>
      </c>
      <c r="F57" s="363">
        <v>20</v>
      </c>
      <c r="G57" s="503">
        <v>5</v>
      </c>
      <c r="H57" s="503">
        <v>20</v>
      </c>
    </row>
    <row r="58" spans="1:8" x14ac:dyDescent="0.25">
      <c r="C58" s="365" t="s">
        <v>1193</v>
      </c>
      <c r="E58" s="363">
        <v>20</v>
      </c>
      <c r="F58" s="363">
        <v>20</v>
      </c>
      <c r="G58" s="503">
        <v>5</v>
      </c>
      <c r="H58" s="503">
        <v>20</v>
      </c>
    </row>
    <row r="59" spans="1:8" x14ac:dyDescent="0.25">
      <c r="C59" s="508" t="s">
        <v>1194</v>
      </c>
      <c r="E59" s="363">
        <v>20</v>
      </c>
      <c r="F59" s="363">
        <v>20</v>
      </c>
      <c r="G59" s="503">
        <v>5</v>
      </c>
      <c r="H59" s="503">
        <v>20</v>
      </c>
    </row>
    <row r="60" spans="1:8" x14ac:dyDescent="0.25">
      <c r="C60" s="508" t="s">
        <v>1195</v>
      </c>
      <c r="E60" s="363">
        <v>20</v>
      </c>
      <c r="F60" s="363">
        <v>20</v>
      </c>
      <c r="G60" s="503">
        <v>5</v>
      </c>
      <c r="H60" s="503">
        <v>20</v>
      </c>
    </row>
  </sheetData>
  <mergeCells count="18">
    <mergeCell ref="A15:A22"/>
    <mergeCell ref="B15:B16"/>
    <mergeCell ref="B17:B22"/>
    <mergeCell ref="A2:A14"/>
    <mergeCell ref="B2:B4"/>
    <mergeCell ref="B5:B10"/>
    <mergeCell ref="B11:B12"/>
    <mergeCell ref="B13:B14"/>
    <mergeCell ref="A45:A48"/>
    <mergeCell ref="B45:B47"/>
    <mergeCell ref="A23:A34"/>
    <mergeCell ref="B23:B29"/>
    <mergeCell ref="B30:B34"/>
    <mergeCell ref="A35:A40"/>
    <mergeCell ref="B35:B39"/>
    <mergeCell ref="A41:A44"/>
    <mergeCell ref="B41:B42"/>
    <mergeCell ref="B43:B44"/>
  </mergeCells>
  <pageMargins left="0.7" right="0.7" top="0.75" bottom="0.75" header="0.3" footer="0.3"/>
  <pageSetup paperSize="9"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zoomScaleNormal="100" workbookViewId="0">
      <pane xSplit="3" ySplit="1" topLeftCell="D2" activePane="bottomRight" state="frozen"/>
      <selection pane="topRight" activeCell="C1" sqref="C1"/>
      <selection pane="bottomLeft" activeCell="A2" sqref="A2"/>
      <selection pane="bottomRight" activeCell="D42" sqref="D42:E50"/>
    </sheetView>
  </sheetViews>
  <sheetFormatPr defaultColWidth="9" defaultRowHeight="11.25" x14ac:dyDescent="0.2"/>
  <cols>
    <col min="1" max="2" width="14.28515625" style="109" customWidth="1"/>
    <col min="3" max="3" width="39.42578125" style="109" customWidth="1"/>
    <col min="4" max="4" width="8.5703125" style="124" customWidth="1"/>
    <col min="5" max="5" width="63" style="109" customWidth="1"/>
    <col min="6" max="6" width="15" style="106" customWidth="1"/>
    <col min="7" max="7" width="15.5703125" style="106" customWidth="1"/>
    <col min="8" max="8" width="15.140625" style="106" customWidth="1"/>
    <col min="9" max="10" width="22.7109375" style="106" customWidth="1"/>
    <col min="11" max="11" width="20.7109375" style="106" customWidth="1"/>
    <col min="12" max="12" width="21.140625" style="106" customWidth="1"/>
    <col min="13" max="16384" width="9" style="109"/>
  </cols>
  <sheetData>
    <row r="1" spans="1:12" s="108" customFormat="1" x14ac:dyDescent="0.2">
      <c r="A1" s="103"/>
      <c r="B1" s="103"/>
      <c r="C1" s="104" t="s">
        <v>190</v>
      </c>
      <c r="D1" s="105"/>
      <c r="E1" s="104" t="s">
        <v>189</v>
      </c>
      <c r="F1" s="106" t="s">
        <v>136</v>
      </c>
      <c r="G1" s="106" t="s">
        <v>137</v>
      </c>
      <c r="H1" s="106" t="s">
        <v>138</v>
      </c>
      <c r="I1" s="721" t="s">
        <v>139</v>
      </c>
      <c r="J1" s="721"/>
      <c r="K1" s="721"/>
      <c r="L1" s="106" t="s">
        <v>140</v>
      </c>
    </row>
    <row r="2" spans="1:12" x14ac:dyDescent="0.2">
      <c r="A2" s="103"/>
      <c r="B2" s="103"/>
      <c r="C2" s="107" t="s">
        <v>158</v>
      </c>
      <c r="D2" s="105"/>
      <c r="E2" s="107"/>
      <c r="F2" s="106" t="s">
        <v>153</v>
      </c>
      <c r="G2" s="106" t="s">
        <v>153</v>
      </c>
      <c r="H2" s="106" t="s">
        <v>153</v>
      </c>
      <c r="I2" s="106" t="s">
        <v>187</v>
      </c>
      <c r="J2" s="106" t="s">
        <v>153</v>
      </c>
      <c r="K2" s="106" t="s">
        <v>186</v>
      </c>
      <c r="L2" s="106" t="s">
        <v>153</v>
      </c>
    </row>
    <row r="3" spans="1:12" x14ac:dyDescent="0.2">
      <c r="A3" s="720" t="s">
        <v>142</v>
      </c>
      <c r="B3" s="720" t="s">
        <v>9</v>
      </c>
      <c r="C3" s="110" t="s">
        <v>7</v>
      </c>
      <c r="D3" s="111" t="s">
        <v>191</v>
      </c>
      <c r="E3" s="112" t="s">
        <v>195</v>
      </c>
      <c r="F3" s="112">
        <v>0.5665</v>
      </c>
      <c r="G3" s="112">
        <v>0.51500000000000001</v>
      </c>
      <c r="H3" s="112">
        <v>0.46350000000000002</v>
      </c>
      <c r="I3" s="112">
        <v>0.5665</v>
      </c>
      <c r="J3" s="112">
        <v>0.51500000000000001</v>
      </c>
      <c r="K3" s="112">
        <v>0.46350000000000002</v>
      </c>
      <c r="L3" s="112">
        <v>0.5665</v>
      </c>
    </row>
    <row r="4" spans="1:12" ht="33.75" x14ac:dyDescent="0.2">
      <c r="A4" s="720"/>
      <c r="B4" s="720"/>
      <c r="C4" s="113" t="s">
        <v>6</v>
      </c>
      <c r="D4" s="111" t="s">
        <v>191</v>
      </c>
      <c r="E4" s="112" t="s">
        <v>398</v>
      </c>
      <c r="F4" s="112">
        <v>10.8</v>
      </c>
      <c r="G4" s="112">
        <v>12</v>
      </c>
      <c r="H4" s="112">
        <v>13.2</v>
      </c>
      <c r="I4" s="112">
        <v>10.8</v>
      </c>
      <c r="J4" s="112">
        <v>12</v>
      </c>
      <c r="K4" s="112">
        <v>13.2</v>
      </c>
      <c r="L4" s="112">
        <v>10.8</v>
      </c>
    </row>
    <row r="5" spans="1:12" ht="33.75" x14ac:dyDescent="0.2">
      <c r="A5" s="720"/>
      <c r="B5" s="720"/>
      <c r="C5" s="113" t="s">
        <v>5</v>
      </c>
      <c r="D5" s="111" t="s">
        <v>219</v>
      </c>
      <c r="E5" s="112" t="s">
        <v>399</v>
      </c>
      <c r="F5" s="112">
        <v>30.8</v>
      </c>
      <c r="G5" s="112">
        <v>28</v>
      </c>
      <c r="H5" s="112">
        <v>25.2</v>
      </c>
      <c r="I5" s="112">
        <v>28</v>
      </c>
      <c r="J5" s="112">
        <v>26.6</v>
      </c>
      <c r="K5" s="112">
        <v>25.2</v>
      </c>
      <c r="L5" s="112">
        <v>30.8</v>
      </c>
    </row>
    <row r="6" spans="1:12" s="114" customFormat="1" ht="22.5" x14ac:dyDescent="0.2">
      <c r="A6" s="720"/>
      <c r="B6" s="720" t="s">
        <v>141</v>
      </c>
      <c r="C6" s="113" t="s">
        <v>33</v>
      </c>
      <c r="D6" s="111" t="s">
        <v>191</v>
      </c>
      <c r="E6" s="112" t="s">
        <v>200</v>
      </c>
      <c r="F6" s="112">
        <v>7.5000000000000002E-4</v>
      </c>
      <c r="G6" s="112">
        <v>0</v>
      </c>
      <c r="H6" s="112">
        <v>0</v>
      </c>
      <c r="I6" s="112">
        <v>7.5000000000000002E-4</v>
      </c>
      <c r="J6" s="112">
        <v>7.5000000000000002E-4</v>
      </c>
      <c r="K6" s="112">
        <v>7.5000000000000002E-4</v>
      </c>
      <c r="L6" s="112">
        <v>7.5000000000000002E-4</v>
      </c>
    </row>
    <row r="7" spans="1:12" s="114" customFormat="1" ht="22.5" x14ac:dyDescent="0.2">
      <c r="A7" s="720"/>
      <c r="B7" s="720"/>
      <c r="C7" s="113" t="s">
        <v>34</v>
      </c>
      <c r="D7" s="111" t="s">
        <v>191</v>
      </c>
      <c r="E7" s="112" t="s">
        <v>201</v>
      </c>
      <c r="F7" s="112">
        <v>5.0000000000000001E-4</v>
      </c>
      <c r="G7" s="112">
        <v>0</v>
      </c>
      <c r="H7" s="112">
        <v>0</v>
      </c>
      <c r="I7" s="112">
        <v>5.0000000000000001E-4</v>
      </c>
      <c r="J7" s="112">
        <v>5.0000000000000001E-4</v>
      </c>
      <c r="K7" s="112">
        <v>5.0000000000000001E-4</v>
      </c>
      <c r="L7" s="112">
        <v>5.0000000000000001E-4</v>
      </c>
    </row>
    <row r="8" spans="1:12" s="114" customFormat="1" ht="22.5" x14ac:dyDescent="0.2">
      <c r="A8" s="720"/>
      <c r="B8" s="720"/>
      <c r="C8" s="113" t="s">
        <v>35</v>
      </c>
      <c r="D8" s="128" t="s">
        <v>395</v>
      </c>
      <c r="E8" s="112" t="s">
        <v>203</v>
      </c>
      <c r="F8" s="112">
        <v>2.5000000000000001E-4</v>
      </c>
      <c r="G8" s="112">
        <v>0</v>
      </c>
      <c r="H8" s="112">
        <v>-2E-3</v>
      </c>
      <c r="I8" s="112">
        <v>2.5000000000000001E-4</v>
      </c>
      <c r="J8" s="112">
        <v>1.25E-4</v>
      </c>
      <c r="K8" s="112">
        <v>0</v>
      </c>
      <c r="L8" s="112">
        <v>2.5000000000000001E-4</v>
      </c>
    </row>
    <row r="9" spans="1:12" ht="22.5" x14ac:dyDescent="0.2">
      <c r="A9" s="720"/>
      <c r="B9" s="720"/>
      <c r="C9" s="113" t="s">
        <v>36</v>
      </c>
      <c r="D9" s="128" t="s">
        <v>395</v>
      </c>
      <c r="E9" s="112" t="s">
        <v>202</v>
      </c>
      <c r="F9" s="112">
        <v>5.0000000000000001E-4</v>
      </c>
      <c r="G9" s="112">
        <v>0</v>
      </c>
      <c r="H9" s="112">
        <v>-2E-3</v>
      </c>
      <c r="I9" s="112">
        <v>5.0000000000000001E-4</v>
      </c>
      <c r="J9" s="112">
        <v>2.5000000000000001E-4</v>
      </c>
      <c r="K9" s="112">
        <v>0</v>
      </c>
      <c r="L9" s="112">
        <v>5.0000000000000001E-4</v>
      </c>
    </row>
    <row r="10" spans="1:12" ht="22.5" x14ac:dyDescent="0.2">
      <c r="A10" s="720"/>
      <c r="B10" s="720"/>
      <c r="C10" s="113" t="s">
        <v>37</v>
      </c>
      <c r="D10" s="128" t="s">
        <v>395</v>
      </c>
      <c r="E10" s="112" t="s">
        <v>204</v>
      </c>
      <c r="F10" s="112">
        <v>4.4999999999999997E-3</v>
      </c>
      <c r="G10" s="112">
        <v>0</v>
      </c>
      <c r="H10" s="112">
        <v>-5.0000000000000001E-4</v>
      </c>
      <c r="I10" s="112">
        <v>3.0000000000000001E-3</v>
      </c>
      <c r="J10" s="112">
        <v>1.25E-3</v>
      </c>
      <c r="K10" s="112">
        <v>-5.0000000000000001E-4</v>
      </c>
      <c r="L10" s="112">
        <v>4.4999999999999997E-3</v>
      </c>
    </row>
    <row r="11" spans="1:12" ht="22.5" x14ac:dyDescent="0.2">
      <c r="A11" s="720"/>
      <c r="B11" s="720"/>
      <c r="C11" s="113" t="s">
        <v>38</v>
      </c>
      <c r="D11" s="128" t="s">
        <v>395</v>
      </c>
      <c r="E11" s="112" t="s">
        <v>205</v>
      </c>
      <c r="F11" s="112">
        <v>4.5500000000000002E-3</v>
      </c>
      <c r="G11" s="112">
        <v>0</v>
      </c>
      <c r="H11" s="112">
        <v>-4.4999999999999999E-4</v>
      </c>
      <c r="I11" s="112">
        <v>2E-3</v>
      </c>
      <c r="J11" s="112">
        <v>7.7500000000000008E-4</v>
      </c>
      <c r="K11" s="112">
        <v>-4.4999999999999999E-4</v>
      </c>
      <c r="L11" s="112">
        <v>4.5500000000000002E-3</v>
      </c>
    </row>
    <row r="12" spans="1:12" s="114" customFormat="1" ht="22.5" x14ac:dyDescent="0.2">
      <c r="A12" s="720"/>
      <c r="B12" s="720" t="s">
        <v>10</v>
      </c>
      <c r="C12" s="113" t="s">
        <v>39</v>
      </c>
      <c r="D12" s="111" t="s">
        <v>191</v>
      </c>
      <c r="E12" s="112" t="s">
        <v>396</v>
      </c>
      <c r="F12" s="115">
        <v>0.4375</v>
      </c>
      <c r="G12" s="115">
        <v>0.35</v>
      </c>
      <c r="H12" s="115">
        <v>0.26249999999999996</v>
      </c>
      <c r="I12" s="112">
        <v>0.35</v>
      </c>
      <c r="J12" s="112">
        <v>0.30624999999999997</v>
      </c>
      <c r="K12" s="112">
        <v>0.26249999999999996</v>
      </c>
      <c r="L12" s="115">
        <v>0.4375</v>
      </c>
    </row>
    <row r="13" spans="1:12" s="114" customFormat="1" ht="22.5" x14ac:dyDescent="0.2">
      <c r="A13" s="720"/>
      <c r="B13" s="720"/>
      <c r="C13" s="113" t="s">
        <v>40</v>
      </c>
      <c r="D13" s="111" t="s">
        <v>191</v>
      </c>
      <c r="E13" s="112" t="s">
        <v>397</v>
      </c>
      <c r="F13" s="115">
        <v>0.9375</v>
      </c>
      <c r="G13" s="115">
        <v>0.75</v>
      </c>
      <c r="H13" s="115">
        <v>0.5625</v>
      </c>
      <c r="I13" s="112">
        <v>0.75</v>
      </c>
      <c r="J13" s="112">
        <v>0.65625</v>
      </c>
      <c r="K13" s="112">
        <v>0.5625</v>
      </c>
      <c r="L13" s="115">
        <v>0.9375</v>
      </c>
    </row>
    <row r="14" spans="1:12" s="114" customFormat="1" ht="33.75" x14ac:dyDescent="0.2">
      <c r="A14" s="720"/>
      <c r="B14" s="720" t="s">
        <v>170</v>
      </c>
      <c r="C14" s="116" t="s">
        <v>97</v>
      </c>
      <c r="D14" s="105" t="s">
        <v>191</v>
      </c>
      <c r="E14" s="107" t="s">
        <v>199</v>
      </c>
      <c r="F14" s="115">
        <v>1.875</v>
      </c>
      <c r="G14" s="115">
        <v>1.25</v>
      </c>
      <c r="H14" s="115">
        <v>0.625</v>
      </c>
      <c r="I14" s="112">
        <v>1.25</v>
      </c>
      <c r="J14" s="112">
        <v>1.5625</v>
      </c>
      <c r="K14" s="112">
        <v>1.875</v>
      </c>
      <c r="L14" s="115">
        <v>1.875</v>
      </c>
    </row>
    <row r="15" spans="1:12" ht="33.75" x14ac:dyDescent="0.2">
      <c r="A15" s="720"/>
      <c r="B15" s="720"/>
      <c r="C15" s="117" t="s">
        <v>98</v>
      </c>
      <c r="D15" s="105" t="s">
        <v>191</v>
      </c>
      <c r="E15" s="107" t="s">
        <v>199</v>
      </c>
      <c r="F15" s="115">
        <v>2.5</v>
      </c>
      <c r="G15" s="115">
        <v>5</v>
      </c>
      <c r="H15" s="115">
        <v>7.5</v>
      </c>
      <c r="I15" s="112">
        <v>5</v>
      </c>
      <c r="J15" s="112">
        <v>3.75</v>
      </c>
      <c r="K15" s="112">
        <v>2.5</v>
      </c>
      <c r="L15" s="115">
        <v>2.5</v>
      </c>
    </row>
    <row r="16" spans="1:12" ht="33.75" x14ac:dyDescent="0.2">
      <c r="A16" s="702" t="s">
        <v>144</v>
      </c>
      <c r="B16" s="720" t="s">
        <v>394</v>
      </c>
      <c r="C16" s="113" t="s">
        <v>50</v>
      </c>
      <c r="D16" s="111" t="s">
        <v>191</v>
      </c>
      <c r="E16" s="107" t="s">
        <v>197</v>
      </c>
      <c r="F16" s="106">
        <v>0.75</v>
      </c>
      <c r="G16" s="106">
        <v>1</v>
      </c>
      <c r="H16" s="106">
        <v>1.25</v>
      </c>
      <c r="I16" s="112">
        <v>0.75</v>
      </c>
      <c r="J16" s="112">
        <v>1</v>
      </c>
      <c r="K16" s="112">
        <v>1.25</v>
      </c>
      <c r="L16" s="106">
        <v>0.875</v>
      </c>
    </row>
    <row r="17" spans="1:12" ht="22.5" x14ac:dyDescent="0.2">
      <c r="A17" s="702"/>
      <c r="B17" s="720"/>
      <c r="C17" s="110" t="s">
        <v>85</v>
      </c>
      <c r="D17" s="111" t="s">
        <v>191</v>
      </c>
      <c r="E17" s="112" t="s">
        <v>198</v>
      </c>
      <c r="F17" s="118">
        <v>3</v>
      </c>
      <c r="G17" s="118">
        <v>2</v>
      </c>
      <c r="H17" s="118">
        <v>1</v>
      </c>
      <c r="I17" s="118">
        <v>2</v>
      </c>
      <c r="J17" s="118">
        <v>1.5</v>
      </c>
      <c r="K17" s="118">
        <v>1</v>
      </c>
      <c r="L17" s="118">
        <v>1</v>
      </c>
    </row>
    <row r="18" spans="1:12" ht="22.5" x14ac:dyDescent="0.2">
      <c r="A18" s="702"/>
      <c r="B18" s="720" t="s">
        <v>393</v>
      </c>
      <c r="C18" s="116" t="s">
        <v>44</v>
      </c>
      <c r="D18" s="105" t="s">
        <v>208</v>
      </c>
      <c r="E18" s="107" t="s">
        <v>400</v>
      </c>
      <c r="F18" s="106">
        <v>2.4999999999999998E-6</v>
      </c>
      <c r="G18" s="106">
        <v>1.9999999999999999E-6</v>
      </c>
      <c r="H18" s="106">
        <v>1.5E-6</v>
      </c>
      <c r="I18" s="112">
        <v>1.9999999999999999E-6</v>
      </c>
      <c r="J18" s="112">
        <v>1.75E-6</v>
      </c>
      <c r="K18" s="112">
        <v>1.5E-6</v>
      </c>
      <c r="L18" s="106">
        <v>2.4999999999999998E-6</v>
      </c>
    </row>
    <row r="19" spans="1:12" ht="22.5" x14ac:dyDescent="0.2">
      <c r="A19" s="702"/>
      <c r="B19" s="720"/>
      <c r="C19" s="113" t="s">
        <v>45</v>
      </c>
      <c r="D19" s="111" t="s">
        <v>191</v>
      </c>
      <c r="E19" s="112" t="s">
        <v>241</v>
      </c>
      <c r="F19" s="106">
        <v>0.44999999999999996</v>
      </c>
      <c r="G19" s="106">
        <v>0.6</v>
      </c>
      <c r="H19" s="106">
        <v>0.75</v>
      </c>
      <c r="I19" s="112">
        <v>0.44999999999999996</v>
      </c>
      <c r="J19" s="112">
        <v>0.6</v>
      </c>
      <c r="K19" s="112">
        <v>0.75</v>
      </c>
      <c r="L19" s="106">
        <v>0.52500000000000002</v>
      </c>
    </row>
    <row r="20" spans="1:12" ht="22.5" x14ac:dyDescent="0.2">
      <c r="A20" s="702"/>
      <c r="B20" s="720"/>
      <c r="C20" s="113" t="s">
        <v>46</v>
      </c>
      <c r="D20" s="111" t="s">
        <v>191</v>
      </c>
      <c r="E20" s="112" t="s">
        <v>242</v>
      </c>
      <c r="F20" s="106">
        <v>0.40500000000000003</v>
      </c>
      <c r="G20" s="106">
        <v>0.54</v>
      </c>
      <c r="H20" s="106">
        <v>0.67500000000000004</v>
      </c>
      <c r="I20" s="112">
        <v>0.40500000000000003</v>
      </c>
      <c r="J20" s="112">
        <v>0.54</v>
      </c>
      <c r="K20" s="112">
        <v>0.67500000000000004</v>
      </c>
      <c r="L20" s="106">
        <v>0.47250000000000003</v>
      </c>
    </row>
    <row r="21" spans="1:12" ht="22.5" x14ac:dyDescent="0.2">
      <c r="A21" s="702"/>
      <c r="B21" s="720"/>
      <c r="C21" s="113" t="s">
        <v>47</v>
      </c>
      <c r="D21" s="111" t="s">
        <v>191</v>
      </c>
      <c r="E21" s="112" t="s">
        <v>209</v>
      </c>
      <c r="F21" s="106">
        <v>0.66749999999999998</v>
      </c>
      <c r="G21" s="106">
        <v>0.89</v>
      </c>
      <c r="H21" s="106">
        <v>1.1125</v>
      </c>
      <c r="I21" s="112">
        <v>0.66749999999999998</v>
      </c>
      <c r="J21" s="112">
        <v>0.89</v>
      </c>
      <c r="K21" s="112">
        <v>1.1125</v>
      </c>
      <c r="L21" s="106">
        <v>0.77875000000000005</v>
      </c>
    </row>
    <row r="22" spans="1:12" ht="33.75" x14ac:dyDescent="0.2">
      <c r="A22" s="702"/>
      <c r="B22" s="720"/>
      <c r="C22" s="113" t="s">
        <v>48</v>
      </c>
      <c r="D22" s="111" t="s">
        <v>191</v>
      </c>
      <c r="E22" s="112" t="s">
        <v>243</v>
      </c>
      <c r="F22" s="106">
        <v>1.25</v>
      </c>
      <c r="G22" s="106">
        <v>1</v>
      </c>
      <c r="H22" s="106">
        <v>0.75</v>
      </c>
      <c r="I22" s="112">
        <v>1.25</v>
      </c>
      <c r="J22" s="112">
        <v>1</v>
      </c>
      <c r="K22" s="112">
        <v>0.75</v>
      </c>
      <c r="L22" s="106">
        <v>1.125</v>
      </c>
    </row>
    <row r="23" spans="1:12" s="114" customFormat="1" ht="33.75" x14ac:dyDescent="0.2">
      <c r="A23" s="702"/>
      <c r="B23" s="720"/>
      <c r="C23" s="113" t="s">
        <v>49</v>
      </c>
      <c r="D23" s="111" t="s">
        <v>191</v>
      </c>
      <c r="E23" s="112" t="s">
        <v>244</v>
      </c>
      <c r="F23" s="119">
        <v>0.8</v>
      </c>
      <c r="G23" s="119">
        <v>0.8</v>
      </c>
      <c r="H23" s="119">
        <v>1</v>
      </c>
      <c r="I23" s="112">
        <v>0.60000000000000009</v>
      </c>
      <c r="J23" s="112">
        <v>0.8</v>
      </c>
      <c r="K23" s="112">
        <v>1</v>
      </c>
      <c r="L23" s="119">
        <v>0.9</v>
      </c>
    </row>
    <row r="24" spans="1:12" s="114" customFormat="1" ht="33.75" x14ac:dyDescent="0.2">
      <c r="A24" s="702" t="s">
        <v>172</v>
      </c>
      <c r="B24" s="720" t="s">
        <v>392</v>
      </c>
      <c r="C24" s="120" t="s">
        <v>84</v>
      </c>
      <c r="D24" s="111" t="s">
        <v>191</v>
      </c>
      <c r="E24" s="112" t="s">
        <v>210</v>
      </c>
      <c r="F24" s="121">
        <v>10</v>
      </c>
      <c r="G24" s="119">
        <v>10</v>
      </c>
      <c r="H24" s="121">
        <v>10</v>
      </c>
      <c r="I24" s="121">
        <v>10</v>
      </c>
      <c r="J24" s="121">
        <v>10</v>
      </c>
      <c r="K24" s="121">
        <v>10</v>
      </c>
      <c r="L24" s="121">
        <v>10</v>
      </c>
    </row>
    <row r="25" spans="1:12" s="114" customFormat="1" ht="22.5" x14ac:dyDescent="0.2">
      <c r="A25" s="702"/>
      <c r="B25" s="720"/>
      <c r="C25" s="113" t="s">
        <v>78</v>
      </c>
      <c r="D25" s="111" t="s">
        <v>213</v>
      </c>
      <c r="E25" s="112" t="s">
        <v>212</v>
      </c>
      <c r="F25" s="119">
        <v>9.8000000000000004E-2</v>
      </c>
      <c r="G25" s="119">
        <v>9.8000000000000004E-2</v>
      </c>
      <c r="H25" s="119">
        <v>4.9000000000000002E-2</v>
      </c>
      <c r="I25" s="119">
        <v>9.8000000000000004E-2</v>
      </c>
      <c r="J25" s="119">
        <v>9.8000000000000004E-2</v>
      </c>
      <c r="K25" s="119">
        <v>9.8000000000000004E-2</v>
      </c>
      <c r="L25" s="119">
        <v>0.14700000000000002</v>
      </c>
    </row>
    <row r="26" spans="1:12" s="114" customFormat="1" ht="22.5" x14ac:dyDescent="0.2">
      <c r="A26" s="702"/>
      <c r="B26" s="720"/>
      <c r="C26" s="116" t="s">
        <v>77</v>
      </c>
      <c r="D26" s="105" t="s">
        <v>211</v>
      </c>
      <c r="E26" s="107" t="s">
        <v>214</v>
      </c>
      <c r="F26" s="119">
        <v>3E-11</v>
      </c>
      <c r="G26" s="119">
        <v>3E-11</v>
      </c>
      <c r="H26" s="119">
        <v>1.5E-11</v>
      </c>
      <c r="I26" s="119">
        <v>3E-11</v>
      </c>
      <c r="J26" s="119">
        <v>3E-11</v>
      </c>
      <c r="K26" s="119">
        <v>3E-11</v>
      </c>
      <c r="L26" s="119">
        <v>4.5E-11</v>
      </c>
    </row>
    <row r="27" spans="1:12" s="114" customFormat="1" ht="22.5" x14ac:dyDescent="0.2">
      <c r="A27" s="702"/>
      <c r="B27" s="720"/>
      <c r="C27" s="116" t="s">
        <v>73</v>
      </c>
      <c r="D27" s="105" t="s">
        <v>211</v>
      </c>
      <c r="E27" s="107" t="s">
        <v>215</v>
      </c>
      <c r="F27" s="119">
        <v>2.8E-11</v>
      </c>
      <c r="G27" s="119">
        <v>2.8E-11</v>
      </c>
      <c r="H27" s="119">
        <v>1.4E-11</v>
      </c>
      <c r="I27" s="119">
        <v>2.8E-11</v>
      </c>
      <c r="J27" s="119">
        <v>2.8E-11</v>
      </c>
      <c r="K27" s="119">
        <v>2.8E-11</v>
      </c>
      <c r="L27" s="119">
        <v>4.1999999999999997E-11</v>
      </c>
    </row>
    <row r="28" spans="1:12" s="114" customFormat="1" ht="33.75" x14ac:dyDescent="0.2">
      <c r="A28" s="702"/>
      <c r="B28" s="720"/>
      <c r="C28" s="116" t="s">
        <v>59</v>
      </c>
      <c r="D28" s="105" t="s">
        <v>191</v>
      </c>
      <c r="E28" s="107" t="s">
        <v>216</v>
      </c>
      <c r="F28" s="119">
        <v>0.03</v>
      </c>
      <c r="G28" s="119">
        <v>0.02</v>
      </c>
      <c r="H28" s="119">
        <v>0.01</v>
      </c>
      <c r="I28" s="119">
        <v>0.03</v>
      </c>
      <c r="J28" s="119">
        <v>0.02</v>
      </c>
      <c r="K28" s="119">
        <v>0.01</v>
      </c>
      <c r="L28" s="119">
        <v>0.02</v>
      </c>
    </row>
    <row r="29" spans="1:12" s="114" customFormat="1" ht="33.75" x14ac:dyDescent="0.2">
      <c r="A29" s="702"/>
      <c r="B29" s="720"/>
      <c r="C29" s="113" t="s">
        <v>56</v>
      </c>
      <c r="D29" s="111" t="s">
        <v>191</v>
      </c>
      <c r="E29" s="107" t="s">
        <v>217</v>
      </c>
      <c r="F29" s="119">
        <v>1.375</v>
      </c>
      <c r="G29" s="119">
        <v>1.1000000000000001</v>
      </c>
      <c r="H29" s="119">
        <v>0.9900000000000001</v>
      </c>
      <c r="I29" s="119">
        <v>1.375</v>
      </c>
      <c r="J29" s="119">
        <v>1.1825000000000001</v>
      </c>
      <c r="K29" s="119">
        <v>0.9900000000000001</v>
      </c>
      <c r="L29" s="119">
        <v>1.1000000000000001</v>
      </c>
    </row>
    <row r="30" spans="1:12" s="114" customFormat="1" ht="22.5" x14ac:dyDescent="0.2">
      <c r="A30" s="702"/>
      <c r="B30" s="720"/>
      <c r="C30" s="110" t="s">
        <v>133</v>
      </c>
      <c r="D30" s="111" t="s">
        <v>219</v>
      </c>
      <c r="E30" s="112" t="s">
        <v>218</v>
      </c>
      <c r="F30" s="121">
        <v>6</v>
      </c>
      <c r="G30" s="119">
        <v>6</v>
      </c>
      <c r="H30" s="121">
        <v>9</v>
      </c>
      <c r="I30" s="122">
        <v>6</v>
      </c>
      <c r="J30" s="122">
        <v>6</v>
      </c>
      <c r="K30" s="119">
        <v>6</v>
      </c>
      <c r="L30" s="122">
        <v>3</v>
      </c>
    </row>
    <row r="31" spans="1:12" ht="22.5" x14ac:dyDescent="0.2">
      <c r="A31" s="702"/>
      <c r="B31" s="720" t="s">
        <v>391</v>
      </c>
      <c r="C31" s="116" t="s">
        <v>71</v>
      </c>
      <c r="D31" s="105" t="s">
        <v>191</v>
      </c>
      <c r="E31" s="107" t="s">
        <v>220</v>
      </c>
      <c r="F31" s="121">
        <v>0.02</v>
      </c>
      <c r="G31" s="121">
        <v>0.04</v>
      </c>
      <c r="H31" s="122">
        <v>0.06</v>
      </c>
      <c r="I31" s="121">
        <v>0.02</v>
      </c>
      <c r="J31" s="121">
        <v>0.04</v>
      </c>
      <c r="K31" s="121">
        <v>0.06</v>
      </c>
      <c r="L31" s="122">
        <v>0.06</v>
      </c>
    </row>
    <row r="32" spans="1:12" ht="22.5" x14ac:dyDescent="0.2">
      <c r="A32" s="702"/>
      <c r="B32" s="720"/>
      <c r="C32" s="116" t="s">
        <v>75</v>
      </c>
      <c r="D32" s="105" t="s">
        <v>191</v>
      </c>
      <c r="E32" s="107" t="s">
        <v>222</v>
      </c>
      <c r="F32" s="121">
        <v>0.02</v>
      </c>
      <c r="G32" s="121">
        <v>0.04</v>
      </c>
      <c r="H32" s="122">
        <v>0.06</v>
      </c>
      <c r="I32" s="121">
        <v>0.02</v>
      </c>
      <c r="J32" s="121">
        <v>0.04</v>
      </c>
      <c r="K32" s="121">
        <v>0.06</v>
      </c>
      <c r="L32" s="122">
        <v>0.06</v>
      </c>
    </row>
    <row r="33" spans="1:12" ht="22.5" x14ac:dyDescent="0.2">
      <c r="A33" s="702"/>
      <c r="B33" s="720"/>
      <c r="C33" s="116" t="s">
        <v>79</v>
      </c>
      <c r="D33" s="105" t="s">
        <v>191</v>
      </c>
      <c r="E33" s="107" t="s">
        <v>221</v>
      </c>
      <c r="F33" s="121">
        <v>0.02</v>
      </c>
      <c r="G33" s="121">
        <v>0.04</v>
      </c>
      <c r="H33" s="122">
        <v>0.06</v>
      </c>
      <c r="I33" s="121">
        <v>0.02</v>
      </c>
      <c r="J33" s="121">
        <v>0.04</v>
      </c>
      <c r="K33" s="121">
        <v>0.06</v>
      </c>
      <c r="L33" s="122">
        <v>0.06</v>
      </c>
    </row>
    <row r="34" spans="1:12" x14ac:dyDescent="0.2">
      <c r="A34" s="702"/>
      <c r="B34" s="720"/>
      <c r="C34" s="116" t="s">
        <v>53</v>
      </c>
      <c r="D34" s="105" t="s">
        <v>224</v>
      </c>
      <c r="E34" s="107" t="s">
        <v>223</v>
      </c>
      <c r="F34" s="121">
        <v>625000000000</v>
      </c>
      <c r="G34" s="121">
        <v>500000000000</v>
      </c>
      <c r="H34" s="121">
        <v>375000000000</v>
      </c>
      <c r="I34" s="122">
        <v>625000000000</v>
      </c>
      <c r="J34" s="122">
        <v>625000000000</v>
      </c>
      <c r="K34" s="122">
        <v>625000000000</v>
      </c>
      <c r="L34" s="122">
        <v>375000000000</v>
      </c>
    </row>
    <row r="35" spans="1:12" ht="22.5" x14ac:dyDescent="0.2">
      <c r="A35" s="702"/>
      <c r="B35" s="720"/>
      <c r="C35" s="110" t="s">
        <v>82</v>
      </c>
      <c r="D35" s="111" t="s">
        <v>219</v>
      </c>
      <c r="E35" s="112" t="s">
        <v>225</v>
      </c>
      <c r="F35" s="121">
        <v>7.5</v>
      </c>
      <c r="G35" s="121">
        <v>5</v>
      </c>
      <c r="H35" s="122">
        <v>2.5</v>
      </c>
      <c r="I35" s="121">
        <v>7.5</v>
      </c>
      <c r="J35" s="121">
        <v>7.5</v>
      </c>
      <c r="K35" s="121">
        <v>7.5</v>
      </c>
      <c r="L35" s="122">
        <v>2.5</v>
      </c>
    </row>
    <row r="36" spans="1:12" x14ac:dyDescent="0.2">
      <c r="A36" s="702" t="s">
        <v>173</v>
      </c>
      <c r="B36" s="720" t="s">
        <v>390</v>
      </c>
      <c r="C36" s="123" t="s">
        <v>171</v>
      </c>
      <c r="D36" s="124" t="s">
        <v>227</v>
      </c>
      <c r="E36" s="112" t="s">
        <v>226</v>
      </c>
      <c r="F36" s="121">
        <v>200000</v>
      </c>
      <c r="G36" s="121">
        <v>400000</v>
      </c>
      <c r="H36" s="121">
        <v>500000</v>
      </c>
      <c r="I36" s="122">
        <v>300000</v>
      </c>
      <c r="J36" s="122">
        <v>350000</v>
      </c>
      <c r="K36" s="122">
        <v>400000</v>
      </c>
      <c r="L36" s="122">
        <v>600000</v>
      </c>
    </row>
    <row r="37" spans="1:12" x14ac:dyDescent="0.2">
      <c r="A37" s="702"/>
      <c r="B37" s="720"/>
      <c r="C37" s="110" t="s">
        <v>83</v>
      </c>
      <c r="D37" s="111" t="s">
        <v>229</v>
      </c>
      <c r="E37" s="112" t="s">
        <v>228</v>
      </c>
      <c r="F37" s="119">
        <v>1000000000</v>
      </c>
      <c r="G37" s="119">
        <v>1000000000</v>
      </c>
      <c r="H37" s="119">
        <v>1500000000</v>
      </c>
      <c r="I37" s="119">
        <v>1000000000</v>
      </c>
      <c r="J37" s="119">
        <v>1000000000</v>
      </c>
      <c r="K37" s="119">
        <v>1000000000</v>
      </c>
      <c r="L37" s="119">
        <v>500000000</v>
      </c>
    </row>
    <row r="38" spans="1:12" ht="45" x14ac:dyDescent="0.2">
      <c r="A38" s="702"/>
      <c r="B38" s="720"/>
      <c r="C38" s="117" t="s">
        <v>58</v>
      </c>
      <c r="D38" s="105" t="s">
        <v>265</v>
      </c>
      <c r="E38" s="107" t="s">
        <v>401</v>
      </c>
      <c r="F38" s="119">
        <v>5</v>
      </c>
      <c r="G38" s="119">
        <v>10</v>
      </c>
      <c r="H38" s="119">
        <v>15</v>
      </c>
      <c r="I38" s="119">
        <v>5</v>
      </c>
      <c r="J38" s="119">
        <v>5</v>
      </c>
      <c r="K38" s="119">
        <v>5</v>
      </c>
      <c r="L38" s="119">
        <v>10</v>
      </c>
    </row>
    <row r="39" spans="1:12" ht="45" x14ac:dyDescent="0.2">
      <c r="A39" s="702"/>
      <c r="B39" s="720"/>
      <c r="C39" s="117" t="s">
        <v>55</v>
      </c>
      <c r="D39" s="105" t="s">
        <v>265</v>
      </c>
      <c r="E39" s="107" t="s">
        <v>402</v>
      </c>
      <c r="F39" s="119">
        <v>10</v>
      </c>
      <c r="G39" s="119">
        <v>20</v>
      </c>
      <c r="H39" s="119">
        <v>30</v>
      </c>
      <c r="I39" s="119">
        <v>10</v>
      </c>
      <c r="J39" s="119">
        <v>10</v>
      </c>
      <c r="K39" s="119">
        <v>10</v>
      </c>
      <c r="L39" s="119">
        <v>20</v>
      </c>
    </row>
    <row r="40" spans="1:12" ht="45" x14ac:dyDescent="0.2">
      <c r="A40" s="702"/>
      <c r="B40" s="720"/>
      <c r="C40" s="117" t="s">
        <v>61</v>
      </c>
      <c r="D40" s="105" t="s">
        <v>265</v>
      </c>
      <c r="E40" s="107" t="s">
        <v>403</v>
      </c>
      <c r="F40" s="119">
        <v>45000000</v>
      </c>
      <c r="G40" s="119">
        <v>30000000</v>
      </c>
      <c r="H40" s="119">
        <v>15000000</v>
      </c>
      <c r="I40" s="119">
        <v>45000000</v>
      </c>
      <c r="J40" s="119">
        <v>30000000</v>
      </c>
      <c r="K40" s="119">
        <v>15000000</v>
      </c>
      <c r="L40" s="119">
        <v>30000000</v>
      </c>
    </row>
    <row r="41" spans="1:12" ht="22.5" x14ac:dyDescent="0.2">
      <c r="A41" s="702"/>
      <c r="B41" s="125" t="s">
        <v>285</v>
      </c>
      <c r="C41" s="117" t="s">
        <v>127</v>
      </c>
      <c r="D41" s="105" t="s">
        <v>234</v>
      </c>
      <c r="E41" s="107" t="s">
        <v>233</v>
      </c>
      <c r="F41" s="121">
        <v>3750000000</v>
      </c>
      <c r="G41" s="121">
        <v>7500000000</v>
      </c>
      <c r="H41" s="121">
        <v>11250000000</v>
      </c>
      <c r="I41" s="122">
        <v>7500000000</v>
      </c>
      <c r="J41" s="122">
        <v>9375000000</v>
      </c>
      <c r="K41" s="122">
        <v>11250000000</v>
      </c>
      <c r="L41" s="122">
        <v>11250000000</v>
      </c>
    </row>
    <row r="42" spans="1:12" s="114" customFormat="1" ht="26.25" customHeight="1" x14ac:dyDescent="0.2">
      <c r="A42" s="702" t="s">
        <v>135</v>
      </c>
      <c r="B42" s="720" t="s">
        <v>389</v>
      </c>
      <c r="C42" s="116" t="s">
        <v>88</v>
      </c>
      <c r="D42" s="105" t="s">
        <v>191</v>
      </c>
      <c r="E42" s="107" t="s">
        <v>235</v>
      </c>
      <c r="F42" s="114">
        <v>0.71249999999999991</v>
      </c>
      <c r="G42" s="114">
        <v>0.95</v>
      </c>
      <c r="H42" s="114">
        <v>1</v>
      </c>
      <c r="I42" s="114">
        <v>0.71249999999999991</v>
      </c>
      <c r="J42" s="114">
        <v>0.85624999999999996</v>
      </c>
      <c r="K42" s="114">
        <v>1</v>
      </c>
      <c r="L42" s="114">
        <v>0.95</v>
      </c>
    </row>
    <row r="43" spans="1:12" s="114" customFormat="1" x14ac:dyDescent="0.2">
      <c r="A43" s="702"/>
      <c r="B43" s="720"/>
      <c r="C43" s="117" t="s">
        <v>89</v>
      </c>
      <c r="D43" s="105" t="s">
        <v>219</v>
      </c>
      <c r="E43" s="107" t="s">
        <v>236</v>
      </c>
      <c r="F43" s="114">
        <v>7.5</v>
      </c>
      <c r="G43" s="114">
        <v>5</v>
      </c>
      <c r="H43" s="114">
        <v>2.5</v>
      </c>
      <c r="I43" s="114">
        <v>7.5</v>
      </c>
      <c r="J43" s="114">
        <v>5</v>
      </c>
      <c r="K43" s="114">
        <v>2.5</v>
      </c>
      <c r="L43" s="114">
        <v>5</v>
      </c>
    </row>
    <row r="44" spans="1:12" ht="22.5" x14ac:dyDescent="0.2">
      <c r="A44" s="702"/>
      <c r="B44" s="720" t="s">
        <v>388</v>
      </c>
      <c r="C44" s="113" t="s">
        <v>109</v>
      </c>
      <c r="D44" s="111" t="s">
        <v>191</v>
      </c>
      <c r="E44" s="112" t="s">
        <v>404</v>
      </c>
      <c r="F44" s="119">
        <v>0.10500000000000001</v>
      </c>
      <c r="G44" s="119">
        <v>7.0000000000000007E-2</v>
      </c>
      <c r="H44" s="119">
        <v>3.5000000000000003E-2</v>
      </c>
      <c r="I44" s="119">
        <v>0.10500000000000001</v>
      </c>
      <c r="J44" s="119">
        <v>7.0000000000000007E-2</v>
      </c>
      <c r="K44" s="119">
        <v>3.5000000000000003E-2</v>
      </c>
      <c r="L44" s="119">
        <v>0.10500000000000001</v>
      </c>
    </row>
    <row r="45" spans="1:12" ht="45" x14ac:dyDescent="0.2">
      <c r="A45" s="702"/>
      <c r="B45" s="720"/>
      <c r="C45" s="116" t="s">
        <v>107</v>
      </c>
      <c r="D45" s="105" t="s">
        <v>191</v>
      </c>
      <c r="E45" s="107" t="s">
        <v>405</v>
      </c>
      <c r="F45" s="119">
        <v>0.44999999999999996</v>
      </c>
      <c r="G45" s="119">
        <v>0.3</v>
      </c>
      <c r="H45" s="119">
        <v>0.15</v>
      </c>
      <c r="I45" s="119">
        <v>0.44999999999999996</v>
      </c>
      <c r="J45" s="119">
        <v>0.3</v>
      </c>
      <c r="K45" s="119">
        <v>0.15</v>
      </c>
      <c r="L45" s="119">
        <v>0.44999999999999996</v>
      </c>
    </row>
    <row r="46" spans="1:12" ht="22.5" x14ac:dyDescent="0.2">
      <c r="A46" s="720" t="s">
        <v>290</v>
      </c>
      <c r="B46" s="720" t="s">
        <v>387</v>
      </c>
      <c r="C46" s="113" t="s">
        <v>115</v>
      </c>
      <c r="D46" s="111" t="s">
        <v>191</v>
      </c>
      <c r="E46" s="112" t="s">
        <v>266</v>
      </c>
      <c r="F46" s="119">
        <v>0.9</v>
      </c>
      <c r="G46" s="119">
        <v>1</v>
      </c>
      <c r="H46" s="119">
        <v>1.1000000000000001</v>
      </c>
      <c r="I46" s="119">
        <v>1</v>
      </c>
      <c r="J46" s="119">
        <v>1</v>
      </c>
      <c r="K46" s="119">
        <v>1</v>
      </c>
      <c r="L46" s="119">
        <v>1.1000000000000001</v>
      </c>
    </row>
    <row r="47" spans="1:12" ht="22.5" x14ac:dyDescent="0.2">
      <c r="A47" s="720"/>
      <c r="B47" s="720"/>
      <c r="C47" s="113" t="s">
        <v>116</v>
      </c>
      <c r="D47" s="111" t="s">
        <v>191</v>
      </c>
      <c r="E47" s="112" t="s">
        <v>266</v>
      </c>
      <c r="F47" s="119">
        <v>0.9</v>
      </c>
      <c r="G47" s="119">
        <v>1</v>
      </c>
      <c r="H47" s="119">
        <v>1.1000000000000001</v>
      </c>
      <c r="I47" s="119">
        <v>1</v>
      </c>
      <c r="J47" s="119">
        <v>1</v>
      </c>
      <c r="K47" s="119">
        <v>1</v>
      </c>
      <c r="L47" s="119">
        <v>1.1000000000000001</v>
      </c>
    </row>
    <row r="48" spans="1:12" ht="22.5" x14ac:dyDescent="0.2">
      <c r="A48" s="720"/>
      <c r="B48" s="720"/>
      <c r="C48" s="113" t="s">
        <v>120</v>
      </c>
      <c r="D48" s="111" t="s">
        <v>263</v>
      </c>
      <c r="E48" s="112" t="s">
        <v>262</v>
      </c>
      <c r="F48" s="119">
        <v>1254.4499999999998</v>
      </c>
      <c r="G48" s="119">
        <v>1672.6</v>
      </c>
      <c r="H48" s="119">
        <v>2090.75</v>
      </c>
      <c r="I48" s="119">
        <v>1672.6</v>
      </c>
      <c r="J48" s="119">
        <v>1672.6</v>
      </c>
      <c r="K48" s="119">
        <v>1672.6</v>
      </c>
      <c r="L48" s="119">
        <v>2090.75</v>
      </c>
    </row>
    <row r="49" spans="1:12" ht="22.5" x14ac:dyDescent="0.2">
      <c r="A49" s="720"/>
      <c r="B49" s="720" t="s">
        <v>174</v>
      </c>
      <c r="C49" s="113" t="s">
        <v>117</v>
      </c>
      <c r="D49" s="111" t="s">
        <v>265</v>
      </c>
      <c r="E49" s="112" t="s">
        <v>406</v>
      </c>
      <c r="F49" s="119">
        <v>7.4999999999999997E-3</v>
      </c>
      <c r="G49" s="119">
        <v>0.01</v>
      </c>
      <c r="H49" s="119">
        <v>1.2500000000000001E-2</v>
      </c>
      <c r="I49" s="119">
        <v>0.01</v>
      </c>
      <c r="J49" s="119">
        <v>0.01</v>
      </c>
      <c r="K49" s="119">
        <v>0.01</v>
      </c>
      <c r="L49" s="119">
        <v>1.2500000000000001E-2</v>
      </c>
    </row>
    <row r="50" spans="1:12" ht="22.5" x14ac:dyDescent="0.2">
      <c r="A50" s="720"/>
      <c r="B50" s="720"/>
      <c r="C50" s="117" t="s">
        <v>134</v>
      </c>
      <c r="D50" s="105" t="s">
        <v>191</v>
      </c>
      <c r="E50" s="107" t="s">
        <v>261</v>
      </c>
      <c r="F50" s="126">
        <v>4</v>
      </c>
      <c r="G50" s="112">
        <v>1</v>
      </c>
      <c r="H50" s="112">
        <v>0</v>
      </c>
      <c r="I50" s="112">
        <v>2</v>
      </c>
      <c r="J50" s="112">
        <v>1</v>
      </c>
      <c r="K50" s="112">
        <v>1</v>
      </c>
      <c r="L50" s="112">
        <v>0</v>
      </c>
    </row>
    <row r="51" spans="1:12" ht="78.75" x14ac:dyDescent="0.2">
      <c r="A51" s="127"/>
      <c r="B51" s="127"/>
      <c r="F51" s="126" t="s">
        <v>255</v>
      </c>
      <c r="G51" s="112" t="s">
        <v>256</v>
      </c>
      <c r="H51" s="112" t="s">
        <v>257</v>
      </c>
      <c r="I51" s="112" t="s">
        <v>258</v>
      </c>
      <c r="J51" s="109"/>
      <c r="K51" s="112" t="s">
        <v>256</v>
      </c>
      <c r="L51" s="112" t="s">
        <v>257</v>
      </c>
    </row>
    <row r="52" spans="1:12" x14ac:dyDescent="0.2">
      <c r="A52" s="127"/>
      <c r="B52" s="127"/>
    </row>
    <row r="53" spans="1:12" x14ac:dyDescent="0.2">
      <c r="A53" s="127"/>
      <c r="B53" s="127"/>
    </row>
  </sheetData>
  <mergeCells count="20">
    <mergeCell ref="A3:A15"/>
    <mergeCell ref="A16:A23"/>
    <mergeCell ref="B16:B17"/>
    <mergeCell ref="B18:B23"/>
    <mergeCell ref="A24:A35"/>
    <mergeCell ref="B24:B30"/>
    <mergeCell ref="B31:B35"/>
    <mergeCell ref="A46:A50"/>
    <mergeCell ref="B46:B48"/>
    <mergeCell ref="B49:B50"/>
    <mergeCell ref="A36:A41"/>
    <mergeCell ref="B36:B40"/>
    <mergeCell ref="A42:A45"/>
    <mergeCell ref="B42:B43"/>
    <mergeCell ref="B44:B45"/>
    <mergeCell ref="B3:B5"/>
    <mergeCell ref="B6:B11"/>
    <mergeCell ref="B12:B13"/>
    <mergeCell ref="B14:B15"/>
    <mergeCell ref="I1:K1"/>
  </mergeCells>
  <pageMargins left="0.7" right="0.7" top="0.75" bottom="0.75" header="0.3" footer="0.3"/>
  <pageSetup paperSize="9"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4"/>
  <sheetViews>
    <sheetView workbookViewId="0">
      <selection activeCell="N37" sqref="N37"/>
    </sheetView>
  </sheetViews>
  <sheetFormatPr defaultRowHeight="15" x14ac:dyDescent="0.25"/>
  <cols>
    <col min="1" max="1" width="8.140625" style="171" customWidth="1"/>
    <col min="2" max="2" width="30" style="171" customWidth="1"/>
    <col min="3" max="3" width="17.28515625" style="171" customWidth="1"/>
    <col min="4" max="4" width="30.85546875" style="171" customWidth="1"/>
    <col min="5" max="5" width="14" style="171" customWidth="1"/>
    <col min="6" max="6" width="9" style="171" customWidth="1"/>
    <col min="7" max="7" width="9.5703125" style="171" customWidth="1"/>
    <col min="8" max="8" width="19.7109375" customWidth="1"/>
  </cols>
  <sheetData>
    <row r="1" spans="1:8" x14ac:dyDescent="0.25">
      <c r="A1" s="166" t="s">
        <v>526</v>
      </c>
      <c r="B1" s="166" t="s">
        <v>468</v>
      </c>
      <c r="C1" s="166" t="s">
        <v>514</v>
      </c>
      <c r="D1" s="177"/>
      <c r="E1" s="178"/>
      <c r="F1" s="179"/>
      <c r="G1" s="180"/>
      <c r="H1" t="s">
        <v>664</v>
      </c>
    </row>
    <row r="2" spans="1:8" s="43" customFormat="1" x14ac:dyDescent="0.25">
      <c r="A2" s="166"/>
      <c r="B2" s="166"/>
      <c r="C2" s="166"/>
      <c r="D2" s="177"/>
      <c r="E2" s="182">
        <v>2015</v>
      </c>
      <c r="F2" s="183">
        <v>2016</v>
      </c>
      <c r="G2" s="184">
        <v>2017</v>
      </c>
    </row>
    <row r="3" spans="1:8" ht="28.5" customHeight="1" x14ac:dyDescent="0.25">
      <c r="A3" s="170" t="s">
        <v>529</v>
      </c>
      <c r="B3" s="170" t="s">
        <v>510</v>
      </c>
      <c r="C3" s="170" t="s">
        <v>191</v>
      </c>
      <c r="D3" s="170"/>
      <c r="E3" s="181"/>
      <c r="F3" s="181"/>
      <c r="G3" s="181"/>
    </row>
    <row r="4" spans="1:8" s="43" customFormat="1" x14ac:dyDescent="0.25">
      <c r="A4" s="170"/>
      <c r="B4" s="170"/>
      <c r="C4" s="170"/>
      <c r="D4" s="170"/>
      <c r="E4" s="163"/>
      <c r="F4" s="164"/>
      <c r="G4" s="165"/>
    </row>
    <row r="5" spans="1:8" s="43" customFormat="1" x14ac:dyDescent="0.25">
      <c r="A5" s="170"/>
      <c r="B5" s="170"/>
      <c r="C5" s="170"/>
      <c r="D5" s="170"/>
      <c r="E5" s="163"/>
      <c r="F5" s="164"/>
      <c r="G5" s="165"/>
    </row>
    <row r="6" spans="1:8" s="43" customFormat="1" x14ac:dyDescent="0.25">
      <c r="A6" s="170"/>
      <c r="B6" s="170"/>
      <c r="C6" s="170"/>
      <c r="D6" s="170"/>
      <c r="E6" s="163"/>
      <c r="F6" s="164"/>
      <c r="G6" s="165"/>
    </row>
    <row r="7" spans="1:8" s="43" customFormat="1" x14ac:dyDescent="0.25">
      <c r="A7" s="170"/>
      <c r="B7" s="170"/>
      <c r="C7" s="170"/>
      <c r="D7" s="170"/>
      <c r="E7" s="163"/>
      <c r="F7" s="164"/>
      <c r="G7" s="165"/>
    </row>
    <row r="8" spans="1:8" s="43" customFormat="1" x14ac:dyDescent="0.25">
      <c r="A8" s="170"/>
      <c r="B8" s="170"/>
      <c r="C8" s="170"/>
      <c r="D8" s="170"/>
      <c r="E8" s="163"/>
      <c r="F8" s="164"/>
      <c r="G8" s="165"/>
    </row>
    <row r="9" spans="1:8" s="43" customFormat="1" x14ac:dyDescent="0.25">
      <c r="A9" s="170"/>
      <c r="B9" s="170"/>
      <c r="C9" s="170"/>
      <c r="D9" s="170"/>
      <c r="E9" s="169"/>
      <c r="F9" s="167"/>
      <c r="G9" s="168"/>
    </row>
    <row r="10" spans="1:8" s="43" customFormat="1" x14ac:dyDescent="0.25">
      <c r="A10" s="170"/>
      <c r="B10" s="170"/>
      <c r="C10" s="170"/>
      <c r="D10" s="170"/>
      <c r="E10" s="169"/>
      <c r="F10" s="167"/>
      <c r="G10" s="168"/>
    </row>
    <row r="11" spans="1:8" s="43" customFormat="1" x14ac:dyDescent="0.25">
      <c r="A11" s="170"/>
      <c r="B11" s="170"/>
      <c r="C11" s="170"/>
      <c r="D11" s="170"/>
      <c r="E11" s="169"/>
      <c r="F11" s="167"/>
      <c r="G11" s="168"/>
    </row>
    <row r="12" spans="1:8" s="43" customFormat="1" x14ac:dyDescent="0.25">
      <c r="A12" s="170"/>
      <c r="B12" s="170"/>
      <c r="C12" s="170"/>
      <c r="D12" s="170"/>
      <c r="E12" s="169"/>
      <c r="F12" s="167"/>
      <c r="G12" s="168"/>
    </row>
    <row r="13" spans="1:8" s="43" customFormat="1" x14ac:dyDescent="0.25">
      <c r="A13" s="170"/>
      <c r="B13" s="170"/>
      <c r="C13" s="170"/>
      <c r="D13" s="170"/>
      <c r="E13" s="169"/>
      <c r="F13" s="167"/>
      <c r="G13" s="168"/>
    </row>
    <row r="14" spans="1:8" s="43" customFormat="1" x14ac:dyDescent="0.25">
      <c r="A14" s="170"/>
      <c r="B14" s="170"/>
      <c r="C14" s="170"/>
      <c r="D14" s="170"/>
      <c r="E14" s="171"/>
      <c r="F14" s="171"/>
      <c r="G14" s="171"/>
    </row>
    <row r="15" spans="1:8" ht="30" x14ac:dyDescent="0.25">
      <c r="A15" s="170" t="s">
        <v>530</v>
      </c>
      <c r="B15" s="172" t="s">
        <v>531</v>
      </c>
      <c r="C15" s="170" t="s">
        <v>532</v>
      </c>
      <c r="D15" s="170"/>
    </row>
    <row r="16" spans="1:8" s="43" customFormat="1" x14ac:dyDescent="0.25">
      <c r="A16" s="170"/>
      <c r="B16" s="170"/>
      <c r="C16" s="170"/>
      <c r="D16" s="170"/>
      <c r="E16" s="163"/>
      <c r="F16" s="164"/>
      <c r="G16" s="165"/>
    </row>
    <row r="17" spans="1:8" s="43" customFormat="1" x14ac:dyDescent="0.25">
      <c r="A17" s="170"/>
      <c r="B17" s="170"/>
      <c r="C17" s="170"/>
      <c r="D17" s="170"/>
      <c r="E17" s="163"/>
      <c r="F17" s="164"/>
      <c r="G17" s="165"/>
    </row>
    <row r="18" spans="1:8" s="43" customFormat="1" x14ac:dyDescent="0.25">
      <c r="A18" s="170"/>
      <c r="B18" s="170"/>
      <c r="C18" s="170"/>
      <c r="D18" s="170"/>
      <c r="E18" s="163"/>
      <c r="F18" s="164"/>
      <c r="G18" s="165"/>
    </row>
    <row r="19" spans="1:8" s="43" customFormat="1" x14ac:dyDescent="0.25">
      <c r="A19" s="170"/>
      <c r="B19" s="170"/>
      <c r="C19" s="170"/>
      <c r="D19" s="170"/>
      <c r="E19" s="163"/>
      <c r="F19" s="164"/>
      <c r="G19" s="165"/>
    </row>
    <row r="20" spans="1:8" s="43" customFormat="1" x14ac:dyDescent="0.25">
      <c r="A20" s="170"/>
      <c r="B20" s="170"/>
      <c r="C20" s="170"/>
      <c r="D20" s="170"/>
      <c r="E20" s="163"/>
      <c r="F20" s="164"/>
      <c r="G20" s="165"/>
    </row>
    <row r="21" spans="1:8" s="43" customFormat="1" x14ac:dyDescent="0.25">
      <c r="A21" s="170"/>
      <c r="B21" s="170"/>
      <c r="C21" s="170"/>
      <c r="D21" s="170"/>
      <c r="E21" s="169"/>
      <c r="F21" s="167"/>
      <c r="G21" s="168"/>
    </row>
    <row r="22" spans="1:8" s="43" customFormat="1" x14ac:dyDescent="0.25">
      <c r="A22" s="170"/>
      <c r="B22" s="170"/>
      <c r="C22" s="170"/>
      <c r="D22" s="170"/>
      <c r="E22" s="169"/>
      <c r="F22" s="167"/>
      <c r="G22" s="168"/>
    </row>
    <row r="23" spans="1:8" s="43" customFormat="1" x14ac:dyDescent="0.25">
      <c r="A23" s="170"/>
      <c r="B23" s="170"/>
      <c r="C23" s="170"/>
      <c r="D23" s="170"/>
      <c r="E23" s="169"/>
      <c r="F23" s="167"/>
      <c r="G23" s="168"/>
    </row>
    <row r="24" spans="1:8" s="43" customFormat="1" x14ac:dyDescent="0.25">
      <c r="A24" s="170"/>
      <c r="B24" s="170"/>
      <c r="C24" s="170"/>
      <c r="D24" s="170"/>
      <c r="E24" s="169"/>
      <c r="F24" s="167"/>
      <c r="G24" s="168"/>
    </row>
    <row r="25" spans="1:8" s="43" customFormat="1" x14ac:dyDescent="0.25">
      <c r="A25" s="170"/>
      <c r="B25" s="170"/>
      <c r="C25" s="170"/>
      <c r="D25" s="170"/>
      <c r="E25" s="169"/>
      <c r="F25" s="167"/>
      <c r="G25" s="168"/>
    </row>
    <row r="26" spans="1:8" s="43" customFormat="1" x14ac:dyDescent="0.25">
      <c r="A26" s="170"/>
      <c r="B26" s="170"/>
      <c r="C26" s="170"/>
      <c r="D26" s="170"/>
      <c r="E26" s="169"/>
      <c r="F26" s="167"/>
      <c r="G26" s="168"/>
    </row>
    <row r="27" spans="1:8" s="46" customFormat="1" x14ac:dyDescent="0.25">
      <c r="A27" s="197"/>
      <c r="B27" s="197"/>
      <c r="C27" s="197"/>
      <c r="D27" s="197"/>
      <c r="E27" s="185">
        <v>2015</v>
      </c>
      <c r="F27" s="185">
        <v>2016</v>
      </c>
      <c r="G27" s="185">
        <v>2017</v>
      </c>
    </row>
    <row r="28" spans="1:8" s="46" customFormat="1" ht="30" x14ac:dyDescent="0.25">
      <c r="A28" s="197" t="s">
        <v>856</v>
      </c>
      <c r="B28" s="197" t="s">
        <v>855</v>
      </c>
      <c r="C28" s="197" t="s">
        <v>473</v>
      </c>
      <c r="D28" s="197"/>
      <c r="E28" s="242">
        <v>121</v>
      </c>
      <c r="F28" s="242">
        <v>122</v>
      </c>
      <c r="G28" s="242">
        <v>122</v>
      </c>
      <c r="H28" s="176" t="s">
        <v>864</v>
      </c>
    </row>
    <row r="29" spans="1:8" s="46" customFormat="1" x14ac:dyDescent="0.25">
      <c r="A29" s="197"/>
      <c r="B29" s="197"/>
      <c r="C29" s="197"/>
      <c r="D29" s="240" t="s">
        <v>808</v>
      </c>
      <c r="E29" s="163">
        <v>159</v>
      </c>
      <c r="F29" s="164">
        <v>160</v>
      </c>
      <c r="G29" s="165">
        <v>160</v>
      </c>
    </row>
    <row r="30" spans="1:8" s="46" customFormat="1" x14ac:dyDescent="0.25">
      <c r="A30" s="197"/>
      <c r="B30" s="197"/>
      <c r="C30" s="197"/>
      <c r="D30" s="240" t="s">
        <v>832</v>
      </c>
      <c r="E30" s="163">
        <v>158</v>
      </c>
      <c r="F30" s="164">
        <v>158</v>
      </c>
      <c r="G30" s="165">
        <v>157</v>
      </c>
    </row>
    <row r="31" spans="1:8" s="46" customFormat="1" x14ac:dyDescent="0.25">
      <c r="A31" s="197"/>
      <c r="B31" s="197"/>
      <c r="C31" s="197"/>
      <c r="D31" s="240" t="s">
        <v>857</v>
      </c>
      <c r="E31" s="163">
        <v>152</v>
      </c>
      <c r="F31" s="164">
        <v>153</v>
      </c>
      <c r="G31" s="165">
        <v>153</v>
      </c>
    </row>
    <row r="32" spans="1:8" s="46" customFormat="1" x14ac:dyDescent="0.25">
      <c r="A32" s="197"/>
      <c r="B32" s="197"/>
      <c r="C32" s="197"/>
      <c r="D32" s="240" t="s">
        <v>858</v>
      </c>
      <c r="E32" s="163">
        <v>148</v>
      </c>
      <c r="F32" s="164">
        <v>149</v>
      </c>
      <c r="G32" s="165">
        <v>150</v>
      </c>
    </row>
    <row r="33" spans="1:7" s="46" customFormat="1" x14ac:dyDescent="0.25">
      <c r="A33" s="197"/>
      <c r="B33" s="197"/>
      <c r="C33" s="197"/>
      <c r="D33" s="240" t="s">
        <v>859</v>
      </c>
      <c r="E33" s="163">
        <v>148</v>
      </c>
      <c r="F33" s="164">
        <v>148</v>
      </c>
      <c r="G33" s="165">
        <v>148</v>
      </c>
    </row>
    <row r="34" spans="1:7" s="46" customFormat="1" x14ac:dyDescent="0.25">
      <c r="A34" s="197"/>
      <c r="B34" s="197"/>
      <c r="C34" s="197"/>
      <c r="D34" s="241" t="s">
        <v>860</v>
      </c>
      <c r="E34" s="169">
        <v>81</v>
      </c>
      <c r="F34" s="167">
        <v>80</v>
      </c>
      <c r="G34" s="168">
        <v>81</v>
      </c>
    </row>
    <row r="35" spans="1:7" s="46" customFormat="1" x14ac:dyDescent="0.25">
      <c r="A35" s="197"/>
      <c r="B35" s="197"/>
      <c r="C35" s="197"/>
      <c r="D35" s="241" t="s">
        <v>861</v>
      </c>
      <c r="E35" s="169">
        <v>86</v>
      </c>
      <c r="F35" s="167">
        <v>85</v>
      </c>
      <c r="G35" s="168">
        <v>84</v>
      </c>
    </row>
    <row r="36" spans="1:7" s="46" customFormat="1" x14ac:dyDescent="0.25">
      <c r="A36" s="197"/>
      <c r="B36" s="197"/>
      <c r="C36" s="197"/>
      <c r="D36" s="241" t="s">
        <v>685</v>
      </c>
      <c r="E36" s="169">
        <v>86</v>
      </c>
      <c r="F36" s="167">
        <v>85</v>
      </c>
      <c r="G36" s="168">
        <v>85</v>
      </c>
    </row>
    <row r="37" spans="1:7" s="46" customFormat="1" x14ac:dyDescent="0.25">
      <c r="A37" s="197"/>
      <c r="B37" s="197"/>
      <c r="C37" s="197"/>
      <c r="D37" s="241" t="s">
        <v>862</v>
      </c>
      <c r="E37" s="169">
        <v>96</v>
      </c>
      <c r="F37" s="167">
        <v>92</v>
      </c>
      <c r="G37" s="168">
        <v>87</v>
      </c>
    </row>
    <row r="38" spans="1:7" s="46" customFormat="1" x14ac:dyDescent="0.25">
      <c r="A38" s="197"/>
      <c r="B38" s="197"/>
      <c r="C38" s="197"/>
      <c r="D38" s="241" t="s">
        <v>863</v>
      </c>
      <c r="E38" s="169">
        <v>91</v>
      </c>
      <c r="F38" s="167">
        <v>90</v>
      </c>
      <c r="G38" s="168">
        <v>89</v>
      </c>
    </row>
    <row r="39" spans="1:7" s="46" customFormat="1" x14ac:dyDescent="0.25">
      <c r="A39" s="197"/>
      <c r="B39" s="197"/>
      <c r="C39" s="197"/>
      <c r="D39" s="197"/>
      <c r="E39" s="185"/>
      <c r="F39" s="185"/>
      <c r="G39" s="185"/>
    </row>
    <row r="40" spans="1:7" x14ac:dyDescent="0.25">
      <c r="A40" s="171" t="s">
        <v>533</v>
      </c>
      <c r="B40" s="172" t="s">
        <v>471</v>
      </c>
      <c r="C40" s="170" t="s">
        <v>472</v>
      </c>
      <c r="D40" s="170"/>
    </row>
    <row r="41" spans="1:7" s="43" customFormat="1" x14ac:dyDescent="0.25">
      <c r="A41" s="170"/>
      <c r="B41" s="170"/>
      <c r="C41" s="170"/>
      <c r="D41" s="170"/>
      <c r="E41" s="163"/>
      <c r="F41" s="164"/>
      <c r="G41" s="165"/>
    </row>
    <row r="42" spans="1:7" s="43" customFormat="1" x14ac:dyDescent="0.25">
      <c r="A42" s="170"/>
      <c r="B42" s="170"/>
      <c r="C42" s="170"/>
      <c r="D42" s="170"/>
      <c r="E42" s="163"/>
      <c r="F42" s="164"/>
      <c r="G42" s="165"/>
    </row>
    <row r="43" spans="1:7" s="43" customFormat="1" x14ac:dyDescent="0.25">
      <c r="A43" s="170"/>
      <c r="B43" s="170"/>
      <c r="C43" s="170"/>
      <c r="D43" s="170"/>
      <c r="E43" s="163"/>
      <c r="F43" s="164"/>
      <c r="G43" s="165"/>
    </row>
    <row r="44" spans="1:7" s="43" customFormat="1" x14ac:dyDescent="0.25">
      <c r="A44" s="170"/>
      <c r="B44" s="170"/>
      <c r="C44" s="170"/>
      <c r="D44" s="170"/>
      <c r="E44" s="163"/>
      <c r="F44" s="164"/>
      <c r="G44" s="165"/>
    </row>
    <row r="45" spans="1:7" s="43" customFormat="1" x14ac:dyDescent="0.25">
      <c r="A45" s="170"/>
      <c r="B45" s="170"/>
      <c r="C45" s="170"/>
      <c r="D45" s="170"/>
      <c r="E45" s="163"/>
      <c r="F45" s="164"/>
      <c r="G45" s="165"/>
    </row>
    <row r="46" spans="1:7" s="43" customFormat="1" x14ac:dyDescent="0.25">
      <c r="A46" s="170"/>
      <c r="B46" s="170"/>
      <c r="C46" s="170"/>
      <c r="D46" s="170"/>
      <c r="E46" s="169"/>
      <c r="F46" s="167"/>
      <c r="G46" s="168"/>
    </row>
    <row r="47" spans="1:7" s="43" customFormat="1" x14ac:dyDescent="0.25">
      <c r="A47" s="170"/>
      <c r="B47" s="170"/>
      <c r="C47" s="170"/>
      <c r="D47" s="170"/>
      <c r="E47" s="169"/>
      <c r="F47" s="167"/>
      <c r="G47" s="168"/>
    </row>
    <row r="48" spans="1:7" s="43" customFormat="1" x14ac:dyDescent="0.25">
      <c r="A48" s="170"/>
      <c r="B48" s="170"/>
      <c r="C48" s="170"/>
      <c r="D48" s="170"/>
      <c r="E48" s="169"/>
      <c r="F48" s="167"/>
      <c r="G48" s="168"/>
    </row>
    <row r="49" spans="1:8" s="43" customFormat="1" x14ac:dyDescent="0.25">
      <c r="A49" s="170"/>
      <c r="B49" s="170"/>
      <c r="C49" s="170"/>
      <c r="D49" s="170"/>
      <c r="E49" s="169"/>
      <c r="F49" s="167"/>
      <c r="G49" s="168"/>
    </row>
    <row r="50" spans="1:8" s="43" customFormat="1" x14ac:dyDescent="0.25">
      <c r="A50" s="170"/>
      <c r="B50" s="170"/>
      <c r="C50" s="170"/>
      <c r="D50" s="170"/>
      <c r="E50" s="169"/>
      <c r="F50" s="167"/>
      <c r="G50" s="168"/>
    </row>
    <row r="51" spans="1:8" s="43" customFormat="1" x14ac:dyDescent="0.25">
      <c r="A51" s="170"/>
      <c r="B51" s="170"/>
      <c r="C51" s="170"/>
      <c r="D51" s="170"/>
      <c r="E51" s="169"/>
      <c r="F51" s="167"/>
      <c r="G51" s="168"/>
    </row>
    <row r="52" spans="1:8" ht="30" x14ac:dyDescent="0.25">
      <c r="A52" s="170" t="s">
        <v>543</v>
      </c>
      <c r="B52" s="172" t="s">
        <v>507</v>
      </c>
      <c r="C52" s="170" t="s">
        <v>473</v>
      </c>
      <c r="D52" s="170"/>
    </row>
    <row r="53" spans="1:8" s="43" customFormat="1" x14ac:dyDescent="0.25">
      <c r="A53" s="170"/>
      <c r="B53" s="170"/>
      <c r="C53" s="170"/>
      <c r="D53" s="170"/>
      <c r="E53" s="163"/>
      <c r="F53" s="164"/>
      <c r="G53" s="165"/>
    </row>
    <row r="54" spans="1:8" s="43" customFormat="1" x14ac:dyDescent="0.25">
      <c r="A54" s="170"/>
      <c r="B54" s="170"/>
      <c r="C54" s="170"/>
      <c r="D54" s="170"/>
      <c r="E54" s="163"/>
      <c r="F54" s="164"/>
      <c r="G54" s="165"/>
    </row>
    <row r="55" spans="1:8" s="43" customFormat="1" x14ac:dyDescent="0.25">
      <c r="A55" s="170"/>
      <c r="B55" s="170"/>
      <c r="C55" s="170"/>
      <c r="D55" s="170"/>
      <c r="E55" s="163"/>
      <c r="F55" s="164"/>
      <c r="G55" s="165"/>
    </row>
    <row r="56" spans="1:8" s="43" customFormat="1" x14ac:dyDescent="0.25">
      <c r="A56" s="170"/>
      <c r="B56" s="170"/>
      <c r="C56" s="170"/>
      <c r="D56" s="170"/>
      <c r="E56" s="163"/>
      <c r="F56" s="164"/>
      <c r="G56" s="165"/>
    </row>
    <row r="57" spans="1:8" s="43" customFormat="1" x14ac:dyDescent="0.25">
      <c r="A57" s="170"/>
      <c r="B57" s="170"/>
      <c r="C57" s="170"/>
      <c r="D57" s="170"/>
      <c r="E57" s="163"/>
      <c r="F57" s="164"/>
      <c r="G57" s="165"/>
    </row>
    <row r="58" spans="1:8" s="43" customFormat="1" x14ac:dyDescent="0.25">
      <c r="A58" s="170"/>
      <c r="B58" s="170"/>
      <c r="C58" s="170"/>
      <c r="D58" s="170"/>
      <c r="E58" s="169"/>
      <c r="F58" s="167"/>
      <c r="G58" s="168"/>
    </row>
    <row r="59" spans="1:8" s="43" customFormat="1" x14ac:dyDescent="0.25">
      <c r="A59" s="170"/>
      <c r="B59" s="170"/>
      <c r="C59" s="170"/>
      <c r="D59" s="170"/>
      <c r="E59" s="169"/>
      <c r="F59" s="167"/>
      <c r="G59" s="168"/>
    </row>
    <row r="60" spans="1:8" s="43" customFormat="1" x14ac:dyDescent="0.25">
      <c r="A60" s="170"/>
      <c r="B60" s="170"/>
      <c r="C60" s="170"/>
      <c r="D60" s="170"/>
      <c r="E60" s="169"/>
      <c r="F60" s="167"/>
      <c r="G60" s="168"/>
    </row>
    <row r="61" spans="1:8" s="43" customFormat="1" x14ac:dyDescent="0.25">
      <c r="A61" s="170"/>
      <c r="B61" s="170"/>
      <c r="C61" s="170"/>
      <c r="D61" s="170"/>
      <c r="E61" s="169"/>
      <c r="F61" s="167"/>
      <c r="G61" s="168"/>
    </row>
    <row r="62" spans="1:8" s="43" customFormat="1" x14ac:dyDescent="0.25">
      <c r="A62" s="170"/>
      <c r="B62" s="170"/>
      <c r="C62" s="170"/>
      <c r="D62" s="170"/>
      <c r="E62" s="169"/>
      <c r="F62" s="167"/>
      <c r="G62" s="168"/>
    </row>
    <row r="63" spans="1:8" s="43" customFormat="1" x14ac:dyDescent="0.25">
      <c r="A63" s="174"/>
      <c r="B63" s="174"/>
      <c r="C63" s="174"/>
      <c r="D63" s="174"/>
      <c r="E63" s="169"/>
      <c r="F63" s="167"/>
      <c r="G63" s="168"/>
    </row>
    <row r="64" spans="1:8" s="43" customFormat="1" x14ac:dyDescent="0.25">
      <c r="A64" s="174" t="s">
        <v>534</v>
      </c>
      <c r="B64" s="174" t="s">
        <v>538</v>
      </c>
      <c r="C64" s="174" t="s">
        <v>667</v>
      </c>
      <c r="D64" s="174" t="s">
        <v>666</v>
      </c>
      <c r="E64" s="171">
        <v>3938.7696571541301</v>
      </c>
      <c r="F64" s="171">
        <v>3967.0291970742301</v>
      </c>
      <c r="G64" s="171">
        <v>4074.1755858883198</v>
      </c>
      <c r="H64" s="176" t="s">
        <v>665</v>
      </c>
    </row>
    <row r="65" spans="1:8" s="43" customFormat="1" x14ac:dyDescent="0.25">
      <c r="A65" s="170"/>
      <c r="B65" s="170"/>
      <c r="C65" s="170"/>
      <c r="D65" s="170" t="s">
        <v>678</v>
      </c>
      <c r="E65" s="163">
        <v>13956.1</v>
      </c>
      <c r="F65" s="164">
        <v>12931.2</v>
      </c>
      <c r="G65" s="165">
        <v>12964.2</v>
      </c>
    </row>
    <row r="66" spans="1:8" s="43" customFormat="1" x14ac:dyDescent="0.25">
      <c r="A66" s="170"/>
      <c r="B66" s="170"/>
      <c r="C66" s="170"/>
      <c r="D66" s="170" t="s">
        <v>679</v>
      </c>
      <c r="E66" s="163">
        <v>9842.2000000000007</v>
      </c>
      <c r="F66" s="164">
        <v>6984.8</v>
      </c>
      <c r="G66" s="165">
        <v>9050.7000000000007</v>
      </c>
    </row>
    <row r="67" spans="1:8" s="43" customFormat="1" x14ac:dyDescent="0.25">
      <c r="A67" s="170"/>
      <c r="B67" s="170"/>
      <c r="C67" s="170"/>
      <c r="D67" s="170" t="s">
        <v>680</v>
      </c>
      <c r="E67" s="163">
        <v>8752.7999999999993</v>
      </c>
      <c r="F67" s="164">
        <v>7776.9</v>
      </c>
      <c r="G67" s="165">
        <v>8794.1</v>
      </c>
    </row>
    <row r="68" spans="1:8" s="43" customFormat="1" x14ac:dyDescent="0.25">
      <c r="A68" s="170"/>
      <c r="B68" s="170"/>
      <c r="C68" s="170"/>
      <c r="D68" s="170" t="s">
        <v>681</v>
      </c>
      <c r="E68" s="163">
        <v>9008.6</v>
      </c>
      <c r="F68" s="164">
        <v>8223.1</v>
      </c>
      <c r="G68" s="165">
        <v>8785</v>
      </c>
    </row>
    <row r="69" spans="1:8" s="43" customFormat="1" x14ac:dyDescent="0.25">
      <c r="A69" s="170"/>
      <c r="B69" s="170"/>
      <c r="C69" s="170"/>
      <c r="D69" s="170" t="s">
        <v>682</v>
      </c>
      <c r="E69" s="163">
        <v>8026.6</v>
      </c>
      <c r="F69" s="164">
        <v>8383.7999999999993</v>
      </c>
      <c r="G69" s="165">
        <v>8464.4</v>
      </c>
    </row>
    <row r="70" spans="1:8" s="43" customFormat="1" x14ac:dyDescent="0.25">
      <c r="A70" s="170"/>
      <c r="B70" s="170"/>
      <c r="C70" s="170"/>
      <c r="D70" s="170" t="s">
        <v>676</v>
      </c>
      <c r="E70" s="169">
        <v>551.29999999999995</v>
      </c>
      <c r="F70" s="167">
        <v>536.5</v>
      </c>
      <c r="G70" s="168">
        <v>541.9</v>
      </c>
    </row>
    <row r="71" spans="1:8" s="43" customFormat="1" x14ac:dyDescent="0.25">
      <c r="A71" s="170"/>
      <c r="B71" s="170"/>
      <c r="C71" s="170"/>
      <c r="D71" s="170" t="s">
        <v>683</v>
      </c>
      <c r="E71" s="169">
        <v>538</v>
      </c>
      <c r="F71" s="167">
        <v>507.2</v>
      </c>
      <c r="G71" s="168">
        <v>547</v>
      </c>
    </row>
    <row r="72" spans="1:8" s="43" customFormat="1" x14ac:dyDescent="0.25">
      <c r="A72" s="170"/>
      <c r="B72" s="170"/>
      <c r="C72" s="170"/>
      <c r="D72" s="170" t="s">
        <v>684</v>
      </c>
      <c r="E72" s="169">
        <v>553.6</v>
      </c>
      <c r="F72" s="167">
        <v>1279.4000000000001</v>
      </c>
      <c r="G72" s="168">
        <v>609.20000000000005</v>
      </c>
    </row>
    <row r="73" spans="1:8" s="43" customFormat="1" x14ac:dyDescent="0.25">
      <c r="A73" s="170"/>
      <c r="B73" s="170"/>
      <c r="C73" s="170"/>
      <c r="D73" s="170" t="s">
        <v>685</v>
      </c>
      <c r="E73" s="169">
        <v>558.20000000000005</v>
      </c>
      <c r="F73" s="167">
        <v>581.79999999999995</v>
      </c>
      <c r="G73" s="168">
        <v>616</v>
      </c>
    </row>
    <row r="74" spans="1:8" s="43" customFormat="1" x14ac:dyDescent="0.25">
      <c r="A74" s="170"/>
      <c r="B74" s="170"/>
      <c r="C74" s="170"/>
      <c r="D74" s="170" t="s">
        <v>686</v>
      </c>
      <c r="E74" s="169">
        <v>569.9</v>
      </c>
      <c r="F74" s="167">
        <v>684.8</v>
      </c>
      <c r="G74" s="168">
        <v>674.2</v>
      </c>
    </row>
    <row r="75" spans="1:8" s="46" customFormat="1" x14ac:dyDescent="0.25">
      <c r="A75" s="197"/>
      <c r="B75" s="197"/>
      <c r="C75" s="197"/>
      <c r="D75" s="197"/>
      <c r="E75" s="185">
        <v>2015</v>
      </c>
      <c r="F75" s="185">
        <v>2016</v>
      </c>
      <c r="G75" s="185">
        <v>2017</v>
      </c>
    </row>
    <row r="76" spans="1:8" x14ac:dyDescent="0.25">
      <c r="A76" s="170" t="s">
        <v>535</v>
      </c>
      <c r="B76" s="170" t="s">
        <v>509</v>
      </c>
      <c r="C76" s="170" t="s">
        <v>819</v>
      </c>
      <c r="D76" s="170"/>
      <c r="E76" s="171">
        <v>9431387</v>
      </c>
      <c r="F76" s="171">
        <v>9602659</v>
      </c>
      <c r="G76" s="171">
        <v>9828068</v>
      </c>
      <c r="H76" s="176" t="s">
        <v>852</v>
      </c>
    </row>
    <row r="77" spans="1:8" s="43" customFormat="1" x14ac:dyDescent="0.25">
      <c r="A77" s="170"/>
      <c r="B77" s="170"/>
      <c r="C77" s="170"/>
      <c r="D77" s="173" t="s">
        <v>853</v>
      </c>
      <c r="E77" s="185">
        <v>765752</v>
      </c>
      <c r="F77" s="185">
        <v>770320</v>
      </c>
      <c r="G77" s="185">
        <v>815483</v>
      </c>
      <c r="H77" s="43" t="s">
        <v>854</v>
      </c>
    </row>
    <row r="78" spans="1:8" s="43" customFormat="1" x14ac:dyDescent="0.25">
      <c r="A78" s="170"/>
      <c r="B78" s="170"/>
      <c r="C78" s="170"/>
      <c r="D78" s="170" t="s">
        <v>798</v>
      </c>
      <c r="E78" s="185">
        <v>533568</v>
      </c>
      <c r="F78" s="185">
        <v>549736</v>
      </c>
      <c r="G78" s="185">
        <v>555973</v>
      </c>
    </row>
    <row r="79" spans="1:8" s="43" customFormat="1" x14ac:dyDescent="0.25">
      <c r="A79" s="170"/>
      <c r="B79" s="170"/>
      <c r="C79" s="170"/>
      <c r="D79" s="170" t="s">
        <v>791</v>
      </c>
      <c r="E79" s="185">
        <v>67861</v>
      </c>
      <c r="F79" s="185">
        <v>65831</v>
      </c>
      <c r="G79" s="185">
        <v>68953</v>
      </c>
    </row>
    <row r="80" spans="1:8" s="46" customFormat="1" x14ac:dyDescent="0.25">
      <c r="A80" s="197"/>
      <c r="B80" s="197"/>
      <c r="C80" s="197"/>
      <c r="D80" s="197"/>
      <c r="E80" s="185">
        <v>2015</v>
      </c>
      <c r="F80" s="185">
        <v>2016</v>
      </c>
      <c r="G80" s="185">
        <v>2017</v>
      </c>
    </row>
    <row r="81" spans="1:8" x14ac:dyDescent="0.25">
      <c r="A81" s="170" t="s">
        <v>536</v>
      </c>
      <c r="B81" s="170" t="s">
        <v>508</v>
      </c>
      <c r="C81" s="170" t="s">
        <v>819</v>
      </c>
      <c r="D81" s="170"/>
      <c r="E81" s="171">
        <v>324246</v>
      </c>
      <c r="F81" s="171">
        <v>328069</v>
      </c>
      <c r="G81" s="171">
        <v>332386</v>
      </c>
      <c r="H81" s="176" t="s">
        <v>852</v>
      </c>
    </row>
    <row r="82" spans="1:8" s="43" customFormat="1" x14ac:dyDescent="0.25">
      <c r="A82" s="170"/>
      <c r="B82" s="170"/>
      <c r="C82" s="170"/>
      <c r="D82" s="173" t="s">
        <v>777</v>
      </c>
      <c r="E82" s="163">
        <v>88366</v>
      </c>
      <c r="F82" s="164">
        <v>87584</v>
      </c>
      <c r="G82" s="165">
        <v>88051</v>
      </c>
    </row>
    <row r="83" spans="1:8" s="43" customFormat="1" x14ac:dyDescent="0.25">
      <c r="A83" s="170"/>
      <c r="B83" s="170"/>
      <c r="C83" s="170"/>
      <c r="D83" s="173" t="s">
        <v>847</v>
      </c>
      <c r="E83" s="163">
        <v>43275</v>
      </c>
      <c r="F83" s="164">
        <v>44636</v>
      </c>
      <c r="G83" s="165">
        <v>45791</v>
      </c>
    </row>
    <row r="84" spans="1:8" s="43" customFormat="1" x14ac:dyDescent="0.25">
      <c r="A84" s="170"/>
      <c r="B84" s="170"/>
      <c r="C84" s="170"/>
      <c r="D84" s="173" t="s">
        <v>778</v>
      </c>
      <c r="E84" s="163">
        <v>26864</v>
      </c>
      <c r="F84" s="164">
        <v>27200</v>
      </c>
      <c r="G84" s="165">
        <v>27946</v>
      </c>
    </row>
    <row r="85" spans="1:8" s="43" customFormat="1" x14ac:dyDescent="0.25">
      <c r="A85" s="170"/>
      <c r="B85" s="170"/>
      <c r="C85" s="170"/>
      <c r="D85" s="173" t="s">
        <v>841</v>
      </c>
      <c r="E85" s="163">
        <v>9570</v>
      </c>
      <c r="F85" s="164">
        <v>9904</v>
      </c>
      <c r="G85" s="165">
        <v>10389</v>
      </c>
    </row>
    <row r="86" spans="1:8" s="43" customFormat="1" x14ac:dyDescent="0.25">
      <c r="A86" s="170"/>
      <c r="B86" s="170"/>
      <c r="C86" s="170"/>
      <c r="D86" s="173" t="s">
        <v>720</v>
      </c>
      <c r="E86" s="163">
        <v>8388</v>
      </c>
      <c r="F86" s="164">
        <v>8436</v>
      </c>
      <c r="G86" s="165">
        <v>8298</v>
      </c>
    </row>
    <row r="87" spans="1:8" s="43" customFormat="1" x14ac:dyDescent="0.25">
      <c r="A87" s="170"/>
      <c r="B87" s="170"/>
      <c r="C87" s="170"/>
      <c r="D87" s="173" t="s">
        <v>848</v>
      </c>
      <c r="E87" s="169">
        <v>4</v>
      </c>
      <c r="F87" s="167">
        <v>4</v>
      </c>
      <c r="G87" s="168">
        <v>4</v>
      </c>
    </row>
    <row r="88" spans="1:8" s="43" customFormat="1" x14ac:dyDescent="0.25">
      <c r="A88" s="170"/>
      <c r="B88" s="170"/>
      <c r="C88" s="170"/>
      <c r="D88" s="173" t="s">
        <v>849</v>
      </c>
      <c r="E88" s="169">
        <v>5</v>
      </c>
      <c r="F88" s="167">
        <v>5</v>
      </c>
      <c r="G88" s="168">
        <v>5</v>
      </c>
    </row>
    <row r="89" spans="1:8" s="43" customFormat="1" x14ac:dyDescent="0.25">
      <c r="A89" s="170"/>
      <c r="B89" s="170"/>
      <c r="C89" s="170"/>
      <c r="D89" s="173" t="s">
        <v>850</v>
      </c>
      <c r="E89" s="169">
        <v>11</v>
      </c>
      <c r="F89" s="167">
        <v>11</v>
      </c>
      <c r="G89" s="168">
        <v>11</v>
      </c>
    </row>
    <row r="90" spans="1:8" s="43" customFormat="1" x14ac:dyDescent="0.25">
      <c r="A90" s="170"/>
      <c r="B90" s="170"/>
      <c r="C90" s="170"/>
      <c r="D90" s="173" t="s">
        <v>851</v>
      </c>
      <c r="E90" s="169">
        <v>12</v>
      </c>
      <c r="F90" s="167">
        <v>11</v>
      </c>
      <c r="G90" s="168">
        <v>12</v>
      </c>
    </row>
    <row r="91" spans="1:8" s="43" customFormat="1" x14ac:dyDescent="0.25">
      <c r="A91" s="170"/>
      <c r="B91" s="170"/>
      <c r="C91" s="170"/>
      <c r="D91" s="173" t="s">
        <v>713</v>
      </c>
      <c r="E91" s="169">
        <v>34</v>
      </c>
      <c r="F91" s="167">
        <v>37</v>
      </c>
      <c r="G91" s="168">
        <v>38</v>
      </c>
    </row>
    <row r="92" spans="1:8" s="43" customFormat="1" x14ac:dyDescent="0.25">
      <c r="A92" s="170"/>
      <c r="B92" s="170"/>
      <c r="C92" s="170"/>
      <c r="D92" s="170"/>
      <c r="E92" s="185">
        <v>2015</v>
      </c>
      <c r="F92" s="185">
        <v>2016</v>
      </c>
      <c r="G92" s="185">
        <v>2017</v>
      </c>
    </row>
    <row r="93" spans="1:8" ht="30" x14ac:dyDescent="0.25">
      <c r="A93" s="170" t="s">
        <v>537</v>
      </c>
      <c r="B93" s="170" t="s">
        <v>865</v>
      </c>
      <c r="C93" s="170" t="s">
        <v>191</v>
      </c>
      <c r="D93" s="170"/>
      <c r="E93" s="171">
        <v>67.680000000000007</v>
      </c>
      <c r="F93" s="171">
        <v>67.55</v>
      </c>
      <c r="G93" s="171">
        <v>67.66</v>
      </c>
      <c r="H93" s="176" t="s">
        <v>869</v>
      </c>
    </row>
    <row r="94" spans="1:8" s="43" customFormat="1" x14ac:dyDescent="0.25">
      <c r="A94" s="170"/>
      <c r="B94" s="170"/>
      <c r="C94" s="170"/>
      <c r="D94" s="173" t="s">
        <v>683</v>
      </c>
      <c r="E94" s="163">
        <v>97.45</v>
      </c>
      <c r="F94" s="164">
        <v>97.45</v>
      </c>
      <c r="G94" s="165">
        <v>97.45</v>
      </c>
    </row>
    <row r="95" spans="1:8" s="43" customFormat="1" x14ac:dyDescent="0.25">
      <c r="A95" s="170"/>
      <c r="B95" s="170"/>
      <c r="C95" s="170"/>
      <c r="D95" s="173" t="s">
        <v>851</v>
      </c>
      <c r="E95" s="163">
        <v>94.04</v>
      </c>
      <c r="F95" s="164">
        <v>94.37</v>
      </c>
      <c r="G95" s="165">
        <v>94.3</v>
      </c>
    </row>
    <row r="96" spans="1:8" s="43" customFormat="1" x14ac:dyDescent="0.25">
      <c r="A96" s="170"/>
      <c r="B96" s="170"/>
      <c r="C96" s="170"/>
      <c r="D96" s="173" t="s">
        <v>866</v>
      </c>
      <c r="E96" s="163">
        <v>94.1</v>
      </c>
      <c r="F96" s="164">
        <v>94.1</v>
      </c>
      <c r="G96" s="165">
        <v>94.09</v>
      </c>
    </row>
    <row r="97" spans="1:8" s="43" customFormat="1" x14ac:dyDescent="0.25">
      <c r="A97" s="170"/>
      <c r="B97" s="170"/>
      <c r="C97" s="170"/>
      <c r="D97" s="173" t="s">
        <v>867</v>
      </c>
      <c r="E97" s="163">
        <v>94.09</v>
      </c>
      <c r="F97" s="164">
        <v>94.09</v>
      </c>
      <c r="G97" s="165">
        <v>94.09</v>
      </c>
    </row>
    <row r="98" spans="1:8" s="43" customFormat="1" x14ac:dyDescent="0.25">
      <c r="A98" s="170"/>
      <c r="B98" s="170"/>
      <c r="C98" s="170"/>
      <c r="D98" s="173" t="s">
        <v>682</v>
      </c>
      <c r="E98" s="163">
        <v>93.79</v>
      </c>
      <c r="F98" s="164">
        <v>93.94</v>
      </c>
      <c r="G98" s="165">
        <v>93.94</v>
      </c>
    </row>
    <row r="99" spans="1:8" s="43" customFormat="1" x14ac:dyDescent="0.25">
      <c r="A99" s="170"/>
      <c r="B99" s="170"/>
      <c r="C99" s="170"/>
      <c r="D99" s="173" t="s">
        <v>669</v>
      </c>
      <c r="E99" s="169">
        <v>1.22</v>
      </c>
      <c r="F99" s="167">
        <v>1.1399999999999999</v>
      </c>
      <c r="G99" s="168">
        <v>1.1000000000000001</v>
      </c>
    </row>
    <row r="100" spans="1:8" s="43" customFormat="1" x14ac:dyDescent="0.25">
      <c r="A100" s="170"/>
      <c r="B100" s="170"/>
      <c r="C100" s="170"/>
      <c r="D100" s="173" t="s">
        <v>810</v>
      </c>
      <c r="E100" s="169">
        <v>1.49</v>
      </c>
      <c r="F100" s="167">
        <v>1.23</v>
      </c>
      <c r="G100" s="168">
        <v>1.33</v>
      </c>
    </row>
    <row r="101" spans="1:8" s="43" customFormat="1" x14ac:dyDescent="0.25">
      <c r="A101" s="170"/>
      <c r="B101" s="170"/>
      <c r="C101" s="170"/>
      <c r="D101" s="173" t="s">
        <v>868</v>
      </c>
      <c r="E101" s="169">
        <v>2.4</v>
      </c>
      <c r="F101" s="167">
        <v>2.37</v>
      </c>
      <c r="G101" s="168">
        <v>2.3199999999999998</v>
      </c>
    </row>
    <row r="102" spans="1:8" s="43" customFormat="1" x14ac:dyDescent="0.25">
      <c r="A102" s="170"/>
      <c r="B102" s="170"/>
      <c r="C102" s="170"/>
      <c r="D102" s="173" t="s">
        <v>672</v>
      </c>
      <c r="E102" s="169">
        <v>3.33</v>
      </c>
      <c r="F102" s="167">
        <v>3.32</v>
      </c>
      <c r="G102" s="168">
        <v>3.32</v>
      </c>
    </row>
    <row r="103" spans="1:8" s="43" customFormat="1" x14ac:dyDescent="0.25">
      <c r="A103" s="170"/>
      <c r="B103" s="170"/>
      <c r="C103" s="170"/>
      <c r="D103" s="173" t="s">
        <v>779</v>
      </c>
      <c r="E103" s="169">
        <v>3.28</v>
      </c>
      <c r="F103" s="167">
        <v>3.34</v>
      </c>
      <c r="G103" s="168">
        <v>3.34</v>
      </c>
    </row>
    <row r="104" spans="1:8" s="43" customFormat="1" x14ac:dyDescent="0.25">
      <c r="A104" s="170"/>
      <c r="B104" s="170"/>
      <c r="C104" s="170"/>
      <c r="D104" s="170"/>
      <c r="E104" s="185">
        <v>2016</v>
      </c>
      <c r="F104" s="185">
        <v>2017</v>
      </c>
      <c r="G104" s="185">
        <v>2018</v>
      </c>
    </row>
    <row r="105" spans="1:8" ht="30" x14ac:dyDescent="0.25">
      <c r="A105" s="170" t="s">
        <v>549</v>
      </c>
      <c r="B105" s="170" t="s">
        <v>547</v>
      </c>
      <c r="C105" s="170" t="s">
        <v>219</v>
      </c>
      <c r="D105" s="170"/>
      <c r="E105" s="171">
        <v>72.180484340000007</v>
      </c>
      <c r="F105" s="171">
        <v>72.385296440000005</v>
      </c>
      <c r="G105" s="171">
        <v>72.560055829999996</v>
      </c>
      <c r="H105" s="176" t="s">
        <v>714</v>
      </c>
    </row>
    <row r="106" spans="1:8" s="43" customFormat="1" x14ac:dyDescent="0.25">
      <c r="A106" s="170"/>
      <c r="B106" s="170"/>
      <c r="C106" s="170"/>
      <c r="D106" s="173" t="s">
        <v>708</v>
      </c>
      <c r="E106" s="163">
        <v>84.226829269999996</v>
      </c>
      <c r="F106" s="164">
        <v>84.680487799999995</v>
      </c>
      <c r="G106" s="165">
        <v>84.934146339999998</v>
      </c>
    </row>
    <row r="107" spans="1:8" s="43" customFormat="1" x14ac:dyDescent="0.25">
      <c r="A107" s="170"/>
      <c r="B107" s="170"/>
      <c r="C107" s="170"/>
      <c r="D107" s="173" t="s">
        <v>715</v>
      </c>
      <c r="E107" s="163">
        <v>83.984878050000006</v>
      </c>
      <c r="F107" s="164">
        <v>84.099756099999993</v>
      </c>
      <c r="G107" s="165">
        <v>84.210975610000006</v>
      </c>
    </row>
    <row r="108" spans="1:8" s="43" customFormat="1" x14ac:dyDescent="0.25">
      <c r="A108" s="170"/>
      <c r="B108" s="170"/>
      <c r="C108" s="170"/>
      <c r="D108" s="173" t="s">
        <v>700</v>
      </c>
      <c r="E108" s="163">
        <v>83.602439020000006</v>
      </c>
      <c r="F108" s="164">
        <v>83.551219509999996</v>
      </c>
      <c r="G108" s="165">
        <v>83.551219509999996</v>
      </c>
    </row>
    <row r="109" spans="1:8" s="43" customFormat="1" x14ac:dyDescent="0.25">
      <c r="A109" s="170"/>
      <c r="B109" s="170"/>
      <c r="C109" s="170"/>
      <c r="D109" s="173" t="s">
        <v>716</v>
      </c>
      <c r="E109" s="163">
        <v>83.329268290000002</v>
      </c>
      <c r="F109" s="164">
        <v>83.282926829999994</v>
      </c>
      <c r="G109" s="165">
        <v>83.334146340000004</v>
      </c>
    </row>
    <row r="110" spans="1:8" s="43" customFormat="1" x14ac:dyDescent="0.25">
      <c r="A110" s="170"/>
      <c r="B110" s="170"/>
      <c r="C110" s="170"/>
      <c r="D110" s="173" t="s">
        <v>702</v>
      </c>
      <c r="E110" s="163">
        <v>82.846341460000005</v>
      </c>
      <c r="F110" s="164">
        <v>83.095121950000006</v>
      </c>
      <c r="G110" s="165">
        <v>83.146341460000002</v>
      </c>
    </row>
    <row r="111" spans="1:8" s="43" customFormat="1" x14ac:dyDescent="0.25">
      <c r="A111" s="170"/>
      <c r="B111" s="170"/>
      <c r="C111" s="170"/>
      <c r="D111" s="173" t="s">
        <v>711</v>
      </c>
      <c r="E111" s="169">
        <v>53.438000000000002</v>
      </c>
      <c r="F111" s="167">
        <v>53.712000000000003</v>
      </c>
      <c r="G111" s="168">
        <v>53.976999999999997</v>
      </c>
    </row>
    <row r="112" spans="1:8" s="43" customFormat="1" x14ac:dyDescent="0.25">
      <c r="A112" s="170"/>
      <c r="B112" s="170"/>
      <c r="C112" s="170"/>
      <c r="D112" s="173" t="s">
        <v>705</v>
      </c>
      <c r="E112" s="169">
        <v>53.444000000000003</v>
      </c>
      <c r="F112" s="167">
        <v>53.895000000000003</v>
      </c>
      <c r="G112" s="168">
        <v>54.308999999999997</v>
      </c>
    </row>
    <row r="113" spans="1:8" s="43" customFormat="1" x14ac:dyDescent="0.25">
      <c r="A113" s="170"/>
      <c r="B113" s="170"/>
      <c r="C113" s="170"/>
      <c r="D113" s="173" t="s">
        <v>717</v>
      </c>
      <c r="E113" s="169">
        <v>53.540999999999997</v>
      </c>
      <c r="F113" s="167">
        <v>53.95</v>
      </c>
      <c r="G113" s="168">
        <v>54.332000000000001</v>
      </c>
    </row>
    <row r="114" spans="1:8" s="43" customFormat="1" x14ac:dyDescent="0.25">
      <c r="A114" s="170"/>
      <c r="B114" s="170"/>
      <c r="C114" s="170"/>
      <c r="D114" s="173" t="s">
        <v>683</v>
      </c>
      <c r="E114" s="169">
        <v>56.323999999999998</v>
      </c>
      <c r="F114" s="167">
        <v>56.709000000000003</v>
      </c>
      <c r="G114" s="168">
        <v>57.067999999999998</v>
      </c>
    </row>
    <row r="115" spans="1:8" s="43" customFormat="1" x14ac:dyDescent="0.25">
      <c r="A115" s="170"/>
      <c r="B115" s="170"/>
      <c r="C115" s="170"/>
      <c r="D115" s="173" t="s">
        <v>718</v>
      </c>
      <c r="E115" s="169">
        <v>57.12</v>
      </c>
      <c r="F115" s="167">
        <v>57.365000000000002</v>
      </c>
      <c r="G115" s="168">
        <v>57.603999999999999</v>
      </c>
    </row>
    <row r="116" spans="1:8" s="43" customFormat="1" x14ac:dyDescent="0.25">
      <c r="A116" s="170"/>
      <c r="B116" s="170"/>
      <c r="C116" s="170"/>
      <c r="D116" s="170"/>
      <c r="E116" s="185">
        <v>2016</v>
      </c>
      <c r="F116" s="185">
        <v>2017</v>
      </c>
      <c r="G116" s="185">
        <v>2018</v>
      </c>
    </row>
    <row r="117" spans="1:8" ht="15" customHeight="1" x14ac:dyDescent="0.25">
      <c r="A117" s="172" t="s">
        <v>550</v>
      </c>
      <c r="B117" s="172" t="s">
        <v>548</v>
      </c>
      <c r="C117" s="173" t="s">
        <v>191</v>
      </c>
      <c r="D117" s="170"/>
      <c r="E117" s="171">
        <v>0.72699999999999998</v>
      </c>
      <c r="F117" s="171">
        <v>0.72899999999999998</v>
      </c>
      <c r="G117" s="171">
        <v>0.73099999999999998</v>
      </c>
      <c r="H117" s="176" t="s">
        <v>719</v>
      </c>
    </row>
    <row r="118" spans="1:8" s="43" customFormat="1" x14ac:dyDescent="0.25">
      <c r="A118" s="170"/>
      <c r="B118" s="170"/>
      <c r="C118" s="170"/>
      <c r="D118" s="173" t="s">
        <v>690</v>
      </c>
      <c r="E118" s="163">
        <v>0.95099999999999996</v>
      </c>
      <c r="F118" s="164">
        <v>0.95299999999999996</v>
      </c>
      <c r="G118" s="165">
        <v>0.95399999999999996</v>
      </c>
    </row>
    <row r="119" spans="1:8" s="43" customFormat="1" x14ac:dyDescent="0.25">
      <c r="A119" s="170"/>
      <c r="B119" s="170"/>
      <c r="C119" s="170"/>
      <c r="D119" s="173" t="s">
        <v>700</v>
      </c>
      <c r="E119" s="163">
        <v>0.94299999999999995</v>
      </c>
      <c r="F119" s="164">
        <v>0.94299999999999995</v>
      </c>
      <c r="G119" s="165">
        <v>0.94599999999999995</v>
      </c>
    </row>
    <row r="120" spans="1:8" s="43" customFormat="1" x14ac:dyDescent="0.25">
      <c r="A120" s="170"/>
      <c r="B120" s="170"/>
      <c r="C120" s="170"/>
      <c r="D120" s="173" t="s">
        <v>681</v>
      </c>
      <c r="E120" s="163">
        <v>0.93600000000000005</v>
      </c>
      <c r="F120" s="164">
        <v>0.93899999999999995</v>
      </c>
      <c r="G120" s="165">
        <v>0.94199999999999995</v>
      </c>
    </row>
    <row r="121" spans="1:8" s="43" customFormat="1" x14ac:dyDescent="0.25">
      <c r="A121" s="170"/>
      <c r="B121" s="170"/>
      <c r="C121" s="170"/>
      <c r="D121" s="173" t="s">
        <v>720</v>
      </c>
      <c r="E121" s="163">
        <v>0.93600000000000005</v>
      </c>
      <c r="F121" s="164">
        <v>0.93799999999999994</v>
      </c>
      <c r="G121" s="165">
        <v>0.93899999999999995</v>
      </c>
    </row>
    <row r="122" spans="1:8" s="43" customFormat="1" ht="15" customHeight="1" x14ac:dyDescent="0.25">
      <c r="A122" s="170"/>
      <c r="B122" s="170"/>
      <c r="C122" s="170"/>
      <c r="D122" s="173" t="s">
        <v>721</v>
      </c>
      <c r="E122" s="163">
        <v>0.93100000000000005</v>
      </c>
      <c r="F122" s="164">
        <v>0.93700000000000006</v>
      </c>
      <c r="G122" s="165">
        <v>0.93899999999999995</v>
      </c>
    </row>
    <row r="123" spans="1:8" s="43" customFormat="1" x14ac:dyDescent="0.25">
      <c r="A123" s="170"/>
      <c r="B123" s="170"/>
      <c r="C123" s="170"/>
      <c r="D123" s="173" t="s">
        <v>676</v>
      </c>
      <c r="E123" s="169">
        <v>0.36499999999999999</v>
      </c>
      <c r="F123" s="167">
        <v>0.373</v>
      </c>
      <c r="G123" s="168">
        <v>0.377</v>
      </c>
    </row>
    <row r="124" spans="1:8" s="43" customFormat="1" x14ac:dyDescent="0.25">
      <c r="A124" s="170"/>
      <c r="B124" s="170"/>
      <c r="C124" s="170"/>
      <c r="D124" s="173" t="s">
        <v>711</v>
      </c>
      <c r="E124" s="169">
        <v>0.39800000000000002</v>
      </c>
      <c r="F124" s="167">
        <v>0.40100000000000002</v>
      </c>
      <c r="G124" s="168">
        <v>0.40100000000000002</v>
      </c>
    </row>
    <row r="125" spans="1:8" s="43" customFormat="1" x14ac:dyDescent="0.25">
      <c r="A125" s="170"/>
      <c r="B125" s="170"/>
      <c r="C125" s="170"/>
      <c r="D125" s="173" t="s">
        <v>718</v>
      </c>
      <c r="E125" s="169">
        <v>0.41799999999999998</v>
      </c>
      <c r="F125" s="167">
        <v>0.41399999999999998</v>
      </c>
      <c r="G125" s="168">
        <v>0.41299999999999998</v>
      </c>
    </row>
    <row r="126" spans="1:8" s="43" customFormat="1" x14ac:dyDescent="0.25">
      <c r="A126" s="170"/>
      <c r="B126" s="170"/>
      <c r="C126" s="170"/>
      <c r="D126" s="173" t="s">
        <v>722</v>
      </c>
      <c r="E126" s="169">
        <v>0.42699999999999999</v>
      </c>
      <c r="F126" s="167">
        <v>0.42099999999999999</v>
      </c>
      <c r="G126" s="168">
        <v>0.42299999999999999</v>
      </c>
    </row>
    <row r="127" spans="1:8" s="43" customFormat="1" x14ac:dyDescent="0.25">
      <c r="A127" s="170"/>
      <c r="B127" s="170"/>
      <c r="C127" s="170"/>
      <c r="D127" s="173" t="s">
        <v>710</v>
      </c>
      <c r="E127" s="169">
        <v>0.42</v>
      </c>
      <c r="F127" s="167">
        <v>0.42599999999999999</v>
      </c>
      <c r="G127" s="168">
        <v>0.42699999999999999</v>
      </c>
    </row>
    <row r="128" spans="1:8" s="43" customFormat="1" x14ac:dyDescent="0.25">
      <c r="A128" s="170"/>
      <c r="B128" s="170"/>
      <c r="C128" s="170"/>
      <c r="D128" s="170"/>
      <c r="E128" s="171">
        <v>2016</v>
      </c>
      <c r="F128" s="171">
        <v>2017</v>
      </c>
      <c r="G128" s="171">
        <v>2018</v>
      </c>
    </row>
    <row r="129" spans="1:8" x14ac:dyDescent="0.25">
      <c r="A129" s="170" t="s">
        <v>556</v>
      </c>
      <c r="B129" s="170" t="s">
        <v>552</v>
      </c>
      <c r="C129" s="170" t="s">
        <v>553</v>
      </c>
      <c r="D129" s="170"/>
      <c r="E129" s="171">
        <v>43.364129249999998</v>
      </c>
      <c r="F129" s="171">
        <v>42.457934940000001</v>
      </c>
      <c r="G129" s="171">
        <v>42.040219409999999</v>
      </c>
      <c r="H129" s="176" t="s">
        <v>707</v>
      </c>
    </row>
    <row r="130" spans="1:8" s="43" customFormat="1" x14ac:dyDescent="0.25">
      <c r="A130" s="170"/>
      <c r="B130" s="170"/>
      <c r="C130" s="170"/>
      <c r="D130" s="173" t="s">
        <v>676</v>
      </c>
      <c r="E130" s="163">
        <v>189.37899999999999</v>
      </c>
      <c r="F130" s="164">
        <v>186.53800000000001</v>
      </c>
      <c r="G130" s="165">
        <v>183.51339999999999</v>
      </c>
    </row>
    <row r="131" spans="1:8" s="43" customFormat="1" x14ac:dyDescent="0.25">
      <c r="A131" s="170"/>
      <c r="B131" s="170"/>
      <c r="C131" s="170"/>
      <c r="D131" s="173" t="s">
        <v>710</v>
      </c>
      <c r="E131" s="163">
        <v>171.08260000000001</v>
      </c>
      <c r="F131" s="164">
        <v>169.12700000000001</v>
      </c>
      <c r="G131" s="165">
        <v>166.86680000000001</v>
      </c>
      <c r="H131" s="189"/>
    </row>
    <row r="132" spans="1:8" s="43" customFormat="1" x14ac:dyDescent="0.25">
      <c r="A132" s="170"/>
      <c r="B132" s="170"/>
      <c r="C132" s="170"/>
      <c r="D132" s="173" t="s">
        <v>711</v>
      </c>
      <c r="E132" s="163">
        <v>164.51599999999999</v>
      </c>
      <c r="F132" s="164">
        <v>161.09</v>
      </c>
      <c r="G132" s="165">
        <v>157.9144</v>
      </c>
    </row>
    <row r="133" spans="1:8" s="43" customFormat="1" x14ac:dyDescent="0.25">
      <c r="A133" s="170"/>
      <c r="B133" s="170"/>
      <c r="C133" s="170"/>
      <c r="D133" s="173" t="s">
        <v>712</v>
      </c>
      <c r="E133" s="163">
        <v>150.72980000000001</v>
      </c>
      <c r="F133" s="164">
        <v>148.626</v>
      </c>
      <c r="G133" s="165">
        <v>146.2508</v>
      </c>
    </row>
    <row r="134" spans="1:8" s="43" customFormat="1" x14ac:dyDescent="0.25">
      <c r="A134" s="170"/>
      <c r="B134" s="170"/>
      <c r="C134" s="170"/>
      <c r="D134" s="173" t="s">
        <v>713</v>
      </c>
      <c r="E134" s="163">
        <v>136.578</v>
      </c>
      <c r="F134" s="164">
        <v>135.96199999999999</v>
      </c>
      <c r="G134" s="165">
        <v>135.56620000000001</v>
      </c>
    </row>
    <row r="135" spans="1:8" s="43" customFormat="1" x14ac:dyDescent="0.25">
      <c r="A135" s="170"/>
      <c r="B135" s="170"/>
      <c r="C135" s="170"/>
      <c r="D135" s="173" t="s">
        <v>696</v>
      </c>
      <c r="E135" s="169">
        <v>1.4563999999999999</v>
      </c>
      <c r="F135" s="167">
        <v>1.379</v>
      </c>
      <c r="G135" s="168">
        <v>1.3204</v>
      </c>
    </row>
    <row r="136" spans="1:8" s="43" customFormat="1" x14ac:dyDescent="0.25">
      <c r="A136" s="170"/>
      <c r="B136" s="170"/>
      <c r="C136" s="170"/>
      <c r="D136" s="173" t="s">
        <v>700</v>
      </c>
      <c r="E136" s="169">
        <v>2.911</v>
      </c>
      <c r="F136" s="167">
        <v>2.7629999999999999</v>
      </c>
      <c r="G136" s="168">
        <v>2.6438000000000001</v>
      </c>
    </row>
    <row r="137" spans="1:8" s="43" customFormat="1" x14ac:dyDescent="0.25">
      <c r="A137" s="170"/>
      <c r="B137" s="170"/>
      <c r="C137" s="170"/>
      <c r="D137" s="173" t="s">
        <v>708</v>
      </c>
      <c r="E137" s="169">
        <v>2.7682000000000002</v>
      </c>
      <c r="F137" s="167">
        <v>2.7050000000000001</v>
      </c>
      <c r="G137" s="168">
        <v>2.6461999999999999</v>
      </c>
    </row>
    <row r="138" spans="1:8" s="43" customFormat="1" x14ac:dyDescent="0.25">
      <c r="A138" s="170"/>
      <c r="B138" s="170"/>
      <c r="C138" s="170"/>
      <c r="D138" s="173" t="s">
        <v>702</v>
      </c>
      <c r="E138" s="169">
        <v>3.6057999999999999</v>
      </c>
      <c r="F138" s="167">
        <v>3.53</v>
      </c>
      <c r="G138" s="168">
        <v>3.5133999999999999</v>
      </c>
    </row>
    <row r="139" spans="1:8" s="43" customFormat="1" x14ac:dyDescent="0.25">
      <c r="A139" s="170"/>
      <c r="B139" s="170"/>
      <c r="C139" s="170"/>
      <c r="D139" s="173" t="s">
        <v>709</v>
      </c>
      <c r="E139" s="169">
        <v>3.9668000000000001</v>
      </c>
      <c r="F139" s="167">
        <v>3.7759999999999998</v>
      </c>
      <c r="G139" s="168">
        <v>3.6524000000000001</v>
      </c>
    </row>
    <row r="140" spans="1:8" s="43" customFormat="1" x14ac:dyDescent="0.25">
      <c r="A140" s="170"/>
      <c r="B140" s="170"/>
      <c r="C140" s="170"/>
      <c r="D140" s="170"/>
      <c r="E140" s="185">
        <v>2015</v>
      </c>
      <c r="F140" s="185">
        <v>2016</v>
      </c>
      <c r="G140" s="185">
        <v>2017</v>
      </c>
    </row>
    <row r="141" spans="1:8" x14ac:dyDescent="0.25">
      <c r="A141" s="170" t="s">
        <v>558</v>
      </c>
      <c r="B141" s="170" t="s">
        <v>921</v>
      </c>
      <c r="C141" s="170" t="s">
        <v>473</v>
      </c>
      <c r="D141" s="170"/>
      <c r="E141" s="171">
        <v>63.486190000000001</v>
      </c>
      <c r="F141" s="171">
        <v>64.265510000000006</v>
      </c>
      <c r="G141" s="171">
        <v>64.54907</v>
      </c>
      <c r="H141" s="176" t="s">
        <v>783</v>
      </c>
    </row>
    <row r="142" spans="1:8" s="43" customFormat="1" x14ac:dyDescent="0.25">
      <c r="A142" s="170"/>
      <c r="B142" s="170"/>
      <c r="C142" s="170"/>
      <c r="D142" s="173" t="s">
        <v>680</v>
      </c>
      <c r="E142" s="163">
        <v>99.183350000000004</v>
      </c>
      <c r="F142" s="164">
        <v>99.870239999999995</v>
      </c>
      <c r="G142" s="165">
        <v>99.935559999999995</v>
      </c>
      <c r="H142" s="43" t="s">
        <v>784</v>
      </c>
    </row>
    <row r="143" spans="1:8" s="43" customFormat="1" x14ac:dyDescent="0.25">
      <c r="A143" s="170"/>
      <c r="B143" s="170"/>
      <c r="C143" s="170"/>
      <c r="D143" s="173" t="s">
        <v>702</v>
      </c>
      <c r="E143" s="163"/>
      <c r="F143" s="164">
        <v>99.869010000000003</v>
      </c>
      <c r="G143" s="165">
        <v>99.91046</v>
      </c>
    </row>
    <row r="144" spans="1:8" s="43" customFormat="1" x14ac:dyDescent="0.25">
      <c r="A144" s="170"/>
      <c r="B144" s="170"/>
      <c r="C144" s="170"/>
      <c r="D144" s="173" t="s">
        <v>779</v>
      </c>
      <c r="E144" s="163">
        <v>97.48818</v>
      </c>
      <c r="F144" s="164">
        <v>99.592320000000001</v>
      </c>
      <c r="G144" s="165">
        <v>99.706770000000006</v>
      </c>
    </row>
    <row r="145" spans="1:8" s="43" customFormat="1" x14ac:dyDescent="0.25">
      <c r="A145" s="170"/>
      <c r="B145" s="170"/>
      <c r="C145" s="170"/>
      <c r="D145" s="173" t="s">
        <v>681</v>
      </c>
      <c r="E145" s="163">
        <v>99.114189999999994</v>
      </c>
      <c r="F145" s="164">
        <v>99.505989999999997</v>
      </c>
      <c r="G145" s="165">
        <v>99.367270000000005</v>
      </c>
    </row>
    <row r="146" spans="1:8" s="43" customFormat="1" x14ac:dyDescent="0.25">
      <c r="A146" s="170"/>
      <c r="B146" s="170"/>
      <c r="C146" s="170"/>
      <c r="D146" s="173" t="s">
        <v>679</v>
      </c>
      <c r="E146" s="163">
        <v>98.052120000000002</v>
      </c>
      <c r="F146" s="164">
        <v>98.717709999999997</v>
      </c>
      <c r="G146" s="165">
        <v>99.140969999999996</v>
      </c>
    </row>
    <row r="147" spans="1:8" s="43" customFormat="1" x14ac:dyDescent="0.25">
      <c r="A147" s="170"/>
      <c r="B147" s="170"/>
      <c r="C147" s="170"/>
      <c r="D147" s="173" t="s">
        <v>780</v>
      </c>
      <c r="E147" s="169">
        <v>41.625900000000001</v>
      </c>
      <c r="F147" s="167">
        <v>41.709510000000002</v>
      </c>
      <c r="G147" s="168">
        <v>40.826990000000002</v>
      </c>
    </row>
    <row r="148" spans="1:8" s="43" customFormat="1" x14ac:dyDescent="0.25">
      <c r="A148" s="170"/>
      <c r="B148" s="170"/>
      <c r="C148" s="170"/>
      <c r="D148" s="173" t="s">
        <v>704</v>
      </c>
      <c r="E148" s="169">
        <v>40.703749999999999</v>
      </c>
      <c r="F148" s="167">
        <v>41.531080000000003</v>
      </c>
      <c r="G148" s="168">
        <v>43.033259999999999</v>
      </c>
    </row>
    <row r="149" spans="1:8" s="43" customFormat="1" x14ac:dyDescent="0.25">
      <c r="A149" s="170"/>
      <c r="B149" s="170"/>
      <c r="C149" s="170"/>
      <c r="D149" s="173" t="s">
        <v>722</v>
      </c>
      <c r="E149" s="169">
        <v>37.474449999999997</v>
      </c>
      <c r="F149" s="167">
        <v>40.556199999999997</v>
      </c>
      <c r="G149" s="168">
        <v>39.540750000000003</v>
      </c>
    </row>
    <row r="150" spans="1:8" s="43" customFormat="1" x14ac:dyDescent="0.25">
      <c r="A150" s="170"/>
      <c r="B150" s="170"/>
      <c r="C150" s="170"/>
      <c r="D150" s="173" t="s">
        <v>781</v>
      </c>
      <c r="E150" s="169">
        <v>35.234920000000002</v>
      </c>
      <c r="F150" s="167">
        <v>35.461440000000003</v>
      </c>
      <c r="G150" s="168">
        <v>36.007770000000001</v>
      </c>
    </row>
    <row r="151" spans="1:8" s="43" customFormat="1" x14ac:dyDescent="0.25">
      <c r="A151" s="170"/>
      <c r="B151" s="170"/>
      <c r="C151" s="170"/>
      <c r="D151" s="173" t="s">
        <v>782</v>
      </c>
      <c r="E151" s="169">
        <v>29.407039999999999</v>
      </c>
      <c r="F151" s="167">
        <v>32.879660000000001</v>
      </c>
      <c r="G151" s="168">
        <v>33.666969999999999</v>
      </c>
    </row>
    <row r="152" spans="1:8" s="43" customFormat="1" x14ac:dyDescent="0.25">
      <c r="A152" s="170"/>
      <c r="B152" s="170"/>
      <c r="C152" s="170"/>
      <c r="D152" s="170"/>
      <c r="E152" s="185">
        <v>2016</v>
      </c>
      <c r="F152" s="185">
        <v>2017</v>
      </c>
      <c r="G152" s="185">
        <v>2018</v>
      </c>
    </row>
    <row r="153" spans="1:8" ht="30" x14ac:dyDescent="0.25">
      <c r="A153" s="170" t="s">
        <v>559</v>
      </c>
      <c r="B153" s="170" t="s">
        <v>917</v>
      </c>
      <c r="C153" s="170" t="s">
        <v>473</v>
      </c>
      <c r="D153" s="170"/>
      <c r="E153" s="171">
        <v>17.364519999999999</v>
      </c>
      <c r="F153" s="171">
        <v>17.212980000000002</v>
      </c>
      <c r="G153" s="171">
        <v>17.122129999999999</v>
      </c>
      <c r="H153" s="176" t="s">
        <v>783</v>
      </c>
    </row>
    <row r="154" spans="1:8" s="43" customFormat="1" x14ac:dyDescent="0.25">
      <c r="A154" s="170"/>
      <c r="B154" s="170"/>
      <c r="C154" s="170"/>
      <c r="D154" s="173" t="s">
        <v>710</v>
      </c>
      <c r="E154" s="163">
        <v>45.827199999999998</v>
      </c>
      <c r="F154" s="164">
        <v>45.563699999999997</v>
      </c>
      <c r="G154" s="165">
        <v>50.707900000000002</v>
      </c>
    </row>
    <row r="155" spans="1:8" s="43" customFormat="1" x14ac:dyDescent="0.25">
      <c r="A155" s="170"/>
      <c r="B155" s="170"/>
      <c r="C155" s="170"/>
      <c r="D155" s="173" t="s">
        <v>785</v>
      </c>
      <c r="E155" s="163">
        <v>0</v>
      </c>
      <c r="F155" s="164">
        <v>44.997500000000002</v>
      </c>
      <c r="G155" s="165">
        <v>44.901299999999999</v>
      </c>
    </row>
    <row r="156" spans="1:8" s="43" customFormat="1" x14ac:dyDescent="0.25">
      <c r="A156" s="170"/>
      <c r="B156" s="170"/>
      <c r="C156" s="170"/>
      <c r="D156" s="173" t="s">
        <v>782</v>
      </c>
      <c r="E156" s="163">
        <v>40.0608</v>
      </c>
      <c r="F156" s="164">
        <v>38.498800000000003</v>
      </c>
      <c r="G156" s="165">
        <v>36.266800000000003</v>
      </c>
    </row>
    <row r="157" spans="1:8" s="43" customFormat="1" x14ac:dyDescent="0.25">
      <c r="A157" s="170"/>
      <c r="B157" s="170"/>
      <c r="C157" s="170"/>
      <c r="D157" s="173" t="s">
        <v>786</v>
      </c>
      <c r="E157" s="163">
        <v>38.089700000000001</v>
      </c>
      <c r="F157" s="164">
        <v>38.241799999999998</v>
      </c>
      <c r="G157" s="165">
        <v>35.1815</v>
      </c>
    </row>
    <row r="158" spans="1:8" s="43" customFormat="1" x14ac:dyDescent="0.25">
      <c r="A158" s="170"/>
      <c r="B158" s="170"/>
      <c r="C158" s="170"/>
      <c r="D158" s="173" t="s">
        <v>781</v>
      </c>
      <c r="E158" s="163">
        <v>40.281599999999997</v>
      </c>
      <c r="F158" s="164">
        <v>37.007899999999999</v>
      </c>
      <c r="G158" s="165">
        <v>33.8459</v>
      </c>
    </row>
    <row r="159" spans="1:8" s="43" customFormat="1" x14ac:dyDescent="0.25">
      <c r="A159" s="170"/>
      <c r="B159" s="170"/>
      <c r="C159" s="170"/>
      <c r="D159" s="173" t="s">
        <v>702</v>
      </c>
      <c r="E159" s="169">
        <v>4.7800000000000002E-2</v>
      </c>
      <c r="F159" s="167">
        <v>4.9700000000000001E-2</v>
      </c>
      <c r="G159" s="168"/>
    </row>
    <row r="160" spans="1:8" s="43" customFormat="1" x14ac:dyDescent="0.25">
      <c r="A160" s="170"/>
      <c r="B160" s="170"/>
      <c r="C160" s="170"/>
      <c r="D160" s="173" t="s">
        <v>681</v>
      </c>
      <c r="E160" s="169">
        <v>0.15859999999999999</v>
      </c>
      <c r="F160" s="167">
        <v>0.216</v>
      </c>
      <c r="G160" s="168"/>
    </row>
    <row r="161" spans="1:8" s="43" customFormat="1" x14ac:dyDescent="0.25">
      <c r="A161" s="170"/>
      <c r="B161" s="170"/>
      <c r="C161" s="170"/>
      <c r="D161" s="173" t="s">
        <v>679</v>
      </c>
      <c r="E161" s="169">
        <v>1.2515000000000001</v>
      </c>
      <c r="F161" s="167">
        <v>0.64580000000000004</v>
      </c>
      <c r="G161" s="168"/>
    </row>
    <row r="162" spans="1:8" s="43" customFormat="1" x14ac:dyDescent="0.25">
      <c r="A162" s="170"/>
      <c r="B162" s="170"/>
      <c r="C162" s="170"/>
      <c r="D162" s="173" t="s">
        <v>774</v>
      </c>
      <c r="E162" s="169">
        <v>0.79800000000000004</v>
      </c>
      <c r="F162" s="167">
        <v>0.68420000000000003</v>
      </c>
      <c r="G162" s="168"/>
    </row>
    <row r="163" spans="1:8" s="43" customFormat="1" x14ac:dyDescent="0.25">
      <c r="A163" s="170"/>
      <c r="B163" s="170"/>
      <c r="C163" s="170"/>
      <c r="D163" s="173" t="s">
        <v>787</v>
      </c>
      <c r="E163" s="169">
        <v>1.4164000000000001</v>
      </c>
      <c r="F163" s="167">
        <v>0.71919999999999995</v>
      </c>
      <c r="G163" s="168"/>
    </row>
    <row r="164" spans="1:8" s="43" customFormat="1" x14ac:dyDescent="0.25">
      <c r="A164" s="170"/>
      <c r="B164" s="170"/>
      <c r="C164" s="170"/>
      <c r="D164" s="170"/>
      <c r="E164" s="185">
        <v>2016</v>
      </c>
      <c r="F164" s="185">
        <v>2017</v>
      </c>
      <c r="G164" s="185">
        <v>2018</v>
      </c>
    </row>
    <row r="165" spans="1:8" x14ac:dyDescent="0.25">
      <c r="A165" s="170" t="s">
        <v>566</v>
      </c>
      <c r="B165" s="170" t="s">
        <v>562</v>
      </c>
      <c r="C165" s="170" t="s">
        <v>219</v>
      </c>
      <c r="D165" s="170"/>
      <c r="E165" s="171">
        <v>8.4</v>
      </c>
      <c r="F165" s="171">
        <v>8.4</v>
      </c>
      <c r="G165" s="171">
        <v>8.4</v>
      </c>
      <c r="H165" s="176" t="s">
        <v>723</v>
      </c>
    </row>
    <row r="166" spans="1:8" s="43" customFormat="1" x14ac:dyDescent="0.25">
      <c r="A166" s="170"/>
      <c r="B166" s="170"/>
      <c r="C166" s="170"/>
      <c r="D166" s="173" t="s">
        <v>724</v>
      </c>
      <c r="E166" s="163">
        <v>14.1</v>
      </c>
      <c r="F166" s="164">
        <v>14.1</v>
      </c>
      <c r="G166" s="165">
        <v>14.1</v>
      </c>
    </row>
    <row r="167" spans="1:8" s="43" customFormat="1" x14ac:dyDescent="0.25">
      <c r="A167" s="170"/>
      <c r="B167" s="170"/>
      <c r="C167" s="170"/>
      <c r="D167" s="173" t="s">
        <v>725</v>
      </c>
      <c r="E167" s="163">
        <v>13.4</v>
      </c>
      <c r="F167" s="164">
        <v>13.4</v>
      </c>
      <c r="G167" s="165">
        <v>13.4</v>
      </c>
    </row>
    <row r="168" spans="1:8" s="43" customFormat="1" x14ac:dyDescent="0.25">
      <c r="A168" s="170"/>
      <c r="B168" s="170"/>
      <c r="C168" s="170"/>
      <c r="D168" s="173" t="s">
        <v>726</v>
      </c>
      <c r="E168" s="163">
        <v>13.4</v>
      </c>
      <c r="F168" s="164">
        <v>13.4</v>
      </c>
      <c r="G168" s="165">
        <v>13.4</v>
      </c>
    </row>
    <row r="169" spans="1:8" s="43" customFormat="1" x14ac:dyDescent="0.25">
      <c r="A169" s="170"/>
      <c r="B169" s="170"/>
      <c r="C169" s="170"/>
      <c r="D169" s="173" t="s">
        <v>727</v>
      </c>
      <c r="E169" s="163">
        <v>13.3</v>
      </c>
      <c r="F169" s="164">
        <v>13.3</v>
      </c>
      <c r="G169" s="165">
        <v>13.3</v>
      </c>
    </row>
    <row r="170" spans="1:8" s="43" customFormat="1" x14ac:dyDescent="0.25">
      <c r="A170" s="170"/>
      <c r="B170" s="170"/>
      <c r="C170" s="170"/>
      <c r="D170" s="173" t="s">
        <v>728</v>
      </c>
      <c r="E170" s="163">
        <v>13.1</v>
      </c>
      <c r="F170" s="164">
        <v>13</v>
      </c>
      <c r="G170" s="165">
        <v>13</v>
      </c>
    </row>
    <row r="171" spans="1:8" s="43" customFormat="1" x14ac:dyDescent="0.25">
      <c r="A171" s="170"/>
      <c r="B171" s="170"/>
      <c r="C171" s="170"/>
      <c r="D171" s="173" t="s">
        <v>729</v>
      </c>
      <c r="E171" s="169">
        <v>1.9</v>
      </c>
      <c r="F171" s="167">
        <v>2</v>
      </c>
      <c r="G171" s="168">
        <v>2</v>
      </c>
    </row>
    <row r="172" spans="1:8" s="43" customFormat="1" x14ac:dyDescent="0.25">
      <c r="A172" s="170"/>
      <c r="B172" s="170"/>
      <c r="C172" s="170"/>
      <c r="D172" s="173" t="s">
        <v>730</v>
      </c>
      <c r="E172" s="169">
        <v>2.4</v>
      </c>
      <c r="F172" s="167">
        <v>2.4</v>
      </c>
      <c r="G172" s="168">
        <v>2.4</v>
      </c>
    </row>
    <row r="173" spans="1:8" s="43" customFormat="1" x14ac:dyDescent="0.25">
      <c r="A173" s="170"/>
      <c r="B173" s="170"/>
      <c r="C173" s="170"/>
      <c r="D173" s="173" t="s">
        <v>731</v>
      </c>
      <c r="E173" s="169">
        <v>2.2000000000000002</v>
      </c>
      <c r="F173" s="167">
        <v>2.4</v>
      </c>
      <c r="G173" s="168">
        <v>2.4</v>
      </c>
    </row>
    <row r="174" spans="1:8" s="43" customFormat="1" x14ac:dyDescent="0.25">
      <c r="A174" s="170"/>
      <c r="B174" s="170"/>
      <c r="C174" s="170"/>
      <c r="D174" s="173" t="s">
        <v>732</v>
      </c>
      <c r="E174" s="169">
        <v>2.7</v>
      </c>
      <c r="F174" s="167">
        <v>2.7</v>
      </c>
      <c r="G174" s="168">
        <v>2.7</v>
      </c>
    </row>
    <row r="175" spans="1:8" s="43" customFormat="1" x14ac:dyDescent="0.25">
      <c r="A175" s="170"/>
      <c r="B175" s="170"/>
      <c r="C175" s="170"/>
      <c r="D175" s="173" t="s">
        <v>733</v>
      </c>
      <c r="E175" s="169">
        <v>2.7</v>
      </c>
      <c r="F175" s="167">
        <v>2.8</v>
      </c>
      <c r="G175" s="168">
        <v>2.8</v>
      </c>
    </row>
    <row r="176" spans="1:8" s="43" customFormat="1" x14ac:dyDescent="0.25">
      <c r="A176" s="170"/>
      <c r="B176" s="170"/>
      <c r="C176" s="170"/>
      <c r="D176" s="170"/>
      <c r="E176" s="185"/>
      <c r="F176" s="185"/>
      <c r="G176" s="185">
        <v>2017</v>
      </c>
    </row>
    <row r="177" spans="1:8" ht="30" x14ac:dyDescent="0.25">
      <c r="A177" s="170" t="s">
        <v>560</v>
      </c>
      <c r="B177" s="170" t="s">
        <v>561</v>
      </c>
      <c r="C177" s="170" t="s">
        <v>473</v>
      </c>
      <c r="D177" s="170"/>
      <c r="G177" s="171">
        <v>43.73</v>
      </c>
      <c r="H177" s="176" t="s">
        <v>770</v>
      </c>
    </row>
    <row r="178" spans="1:8" s="43" customFormat="1" x14ac:dyDescent="0.25">
      <c r="A178" s="170"/>
      <c r="B178" s="170"/>
      <c r="C178" s="170"/>
      <c r="D178" s="173" t="s">
        <v>771</v>
      </c>
      <c r="E178" s="163"/>
      <c r="F178" s="164"/>
      <c r="G178" s="165">
        <v>69.75</v>
      </c>
    </row>
    <row r="179" spans="1:8" s="43" customFormat="1" x14ac:dyDescent="0.25">
      <c r="A179" s="170"/>
      <c r="B179" s="170"/>
      <c r="C179" s="170"/>
      <c r="D179" s="173" t="s">
        <v>772</v>
      </c>
      <c r="E179" s="163"/>
      <c r="F179" s="164"/>
      <c r="G179" s="165">
        <v>60.92</v>
      </c>
    </row>
    <row r="180" spans="1:8" s="43" customFormat="1" x14ac:dyDescent="0.25">
      <c r="A180" s="170"/>
      <c r="B180" s="170"/>
      <c r="C180" s="170"/>
      <c r="D180" s="173" t="s">
        <v>715</v>
      </c>
      <c r="E180" s="163"/>
      <c r="F180" s="164"/>
      <c r="G180" s="165">
        <v>60.43</v>
      </c>
    </row>
    <row r="181" spans="1:8" s="43" customFormat="1" x14ac:dyDescent="0.25">
      <c r="A181" s="170"/>
      <c r="B181" s="170"/>
      <c r="C181" s="170"/>
      <c r="D181" s="173" t="s">
        <v>773</v>
      </c>
      <c r="E181" s="163"/>
      <c r="F181" s="164"/>
      <c r="G181" s="165">
        <v>57.58</v>
      </c>
    </row>
    <row r="182" spans="1:8" s="43" customFormat="1" x14ac:dyDescent="0.25">
      <c r="A182" s="170"/>
      <c r="B182" s="170"/>
      <c r="C182" s="170"/>
      <c r="D182" s="173" t="s">
        <v>774</v>
      </c>
      <c r="E182" s="163"/>
      <c r="F182" s="164"/>
      <c r="G182" s="165">
        <v>55.63</v>
      </c>
    </row>
    <row r="183" spans="1:8" s="43" customFormat="1" x14ac:dyDescent="0.25">
      <c r="A183" s="170"/>
      <c r="B183" s="170"/>
      <c r="C183" s="170"/>
      <c r="D183" s="173" t="s">
        <v>777</v>
      </c>
      <c r="E183" s="169"/>
      <c r="F183" s="167"/>
      <c r="G183" s="168">
        <v>17.95</v>
      </c>
    </row>
    <row r="184" spans="1:8" s="43" customFormat="1" x14ac:dyDescent="0.25">
      <c r="A184" s="170"/>
      <c r="B184" s="170"/>
      <c r="C184" s="170"/>
      <c r="D184" s="173" t="s">
        <v>778</v>
      </c>
      <c r="E184" s="169"/>
      <c r="F184" s="167"/>
      <c r="G184" s="168">
        <v>16.63</v>
      </c>
    </row>
    <row r="185" spans="1:8" s="43" customFormat="1" x14ac:dyDescent="0.25">
      <c r="A185" s="170"/>
      <c r="B185" s="170"/>
      <c r="C185" s="170"/>
      <c r="D185" s="173" t="s">
        <v>775</v>
      </c>
      <c r="E185" s="169"/>
      <c r="F185" s="167"/>
      <c r="G185" s="168">
        <v>16.13</v>
      </c>
    </row>
    <row r="186" spans="1:8" s="43" customFormat="1" x14ac:dyDescent="0.25">
      <c r="A186" s="170"/>
      <c r="B186" s="170"/>
      <c r="C186" s="170"/>
      <c r="D186" s="173" t="s">
        <v>691</v>
      </c>
      <c r="E186" s="169"/>
      <c r="F186" s="167"/>
      <c r="G186" s="168">
        <v>13.9</v>
      </c>
    </row>
    <row r="187" spans="1:8" s="43" customFormat="1" x14ac:dyDescent="0.25">
      <c r="A187" s="170"/>
      <c r="B187" s="170"/>
      <c r="C187" s="170"/>
      <c r="D187" s="173" t="s">
        <v>776</v>
      </c>
      <c r="E187" s="169"/>
      <c r="F187" s="167"/>
      <c r="G187" s="168">
        <v>6.01</v>
      </c>
    </row>
    <row r="188" spans="1:8" s="43" customFormat="1" x14ac:dyDescent="0.25">
      <c r="A188" s="170"/>
      <c r="B188" s="170"/>
      <c r="C188" s="170"/>
      <c r="D188" s="170"/>
      <c r="E188" s="185"/>
      <c r="F188" s="185"/>
      <c r="G188" s="185"/>
    </row>
    <row r="189" spans="1:8" ht="30" x14ac:dyDescent="0.25">
      <c r="A189" s="170" t="s">
        <v>569</v>
      </c>
      <c r="B189" s="170" t="s">
        <v>478</v>
      </c>
      <c r="C189" s="170" t="s">
        <v>473</v>
      </c>
      <c r="D189" s="170"/>
    </row>
    <row r="190" spans="1:8" s="43" customFormat="1" x14ac:dyDescent="0.25">
      <c r="A190" s="170"/>
      <c r="B190" s="170"/>
      <c r="C190" s="170"/>
      <c r="D190" s="170"/>
      <c r="E190" s="163"/>
      <c r="F190" s="164"/>
      <c r="G190" s="165"/>
    </row>
    <row r="191" spans="1:8" s="43" customFormat="1" x14ac:dyDescent="0.25">
      <c r="A191" s="170"/>
      <c r="B191" s="170"/>
      <c r="C191" s="170"/>
      <c r="D191" s="170"/>
      <c r="E191" s="163"/>
      <c r="F191" s="164"/>
      <c r="G191" s="165"/>
    </row>
    <row r="192" spans="1:8" s="43" customFormat="1" x14ac:dyDescent="0.25">
      <c r="A192" s="170"/>
      <c r="B192" s="170"/>
      <c r="C192" s="170"/>
      <c r="D192" s="170"/>
      <c r="E192" s="163"/>
      <c r="F192" s="164"/>
      <c r="G192" s="165"/>
    </row>
    <row r="193" spans="1:8" s="43" customFormat="1" x14ac:dyDescent="0.25">
      <c r="A193" s="170"/>
      <c r="B193" s="170"/>
      <c r="C193" s="170"/>
      <c r="D193" s="170"/>
      <c r="E193" s="163"/>
      <c r="F193" s="164"/>
      <c r="G193" s="165"/>
    </row>
    <row r="194" spans="1:8" s="43" customFormat="1" x14ac:dyDescent="0.25">
      <c r="A194" s="170"/>
      <c r="B194" s="170"/>
      <c r="C194" s="170"/>
      <c r="D194" s="170"/>
      <c r="E194" s="163"/>
      <c r="F194" s="164"/>
      <c r="G194" s="165"/>
    </row>
    <row r="195" spans="1:8" s="43" customFormat="1" x14ac:dyDescent="0.25">
      <c r="A195" s="170"/>
      <c r="B195" s="170"/>
      <c r="C195" s="170"/>
      <c r="D195" s="170"/>
      <c r="E195" s="169"/>
      <c r="F195" s="167"/>
      <c r="G195" s="168"/>
    </row>
    <row r="196" spans="1:8" s="43" customFormat="1" x14ac:dyDescent="0.25">
      <c r="A196" s="170"/>
      <c r="B196" s="170"/>
      <c r="C196" s="170"/>
      <c r="D196" s="170"/>
      <c r="E196" s="169"/>
      <c r="F196" s="167"/>
      <c r="G196" s="168"/>
    </row>
    <row r="197" spans="1:8" s="43" customFormat="1" x14ac:dyDescent="0.25">
      <c r="A197" s="170"/>
      <c r="B197" s="170"/>
      <c r="C197" s="170"/>
      <c r="D197" s="170"/>
      <c r="E197" s="169"/>
      <c r="F197" s="167"/>
      <c r="G197" s="168"/>
    </row>
    <row r="198" spans="1:8" s="43" customFormat="1" x14ac:dyDescent="0.25">
      <c r="A198" s="170"/>
      <c r="B198" s="170"/>
      <c r="C198" s="170"/>
      <c r="D198" s="170"/>
      <c r="E198" s="169"/>
      <c r="F198" s="167"/>
      <c r="G198" s="168"/>
    </row>
    <row r="199" spans="1:8" s="43" customFormat="1" x14ac:dyDescent="0.25">
      <c r="A199" s="170"/>
      <c r="B199" s="170"/>
      <c r="C199" s="170"/>
      <c r="D199" s="170"/>
      <c r="E199" s="169"/>
      <c r="F199" s="167"/>
      <c r="G199" s="168"/>
    </row>
    <row r="200" spans="1:8" s="43" customFormat="1" x14ac:dyDescent="0.25">
      <c r="A200" s="170"/>
      <c r="B200" s="170"/>
      <c r="C200" s="170"/>
      <c r="D200" s="170"/>
      <c r="E200" s="171">
        <v>2013</v>
      </c>
      <c r="F200" s="171">
        <v>2014</v>
      </c>
      <c r="G200" s="171">
        <v>2015</v>
      </c>
    </row>
    <row r="201" spans="1:8" x14ac:dyDescent="0.25">
      <c r="A201" s="170" t="s">
        <v>735</v>
      </c>
      <c r="B201" s="170" t="s">
        <v>506</v>
      </c>
      <c r="C201" s="170" t="s">
        <v>473</v>
      </c>
      <c r="D201" s="170"/>
      <c r="E201" s="171">
        <v>17.699056861462498</v>
      </c>
      <c r="F201" s="171">
        <v>17.870184041938899</v>
      </c>
      <c r="G201" s="171">
        <v>18.053754992986399</v>
      </c>
      <c r="H201" s="176" t="s">
        <v>688</v>
      </c>
    </row>
    <row r="202" spans="1:8" s="43" customFormat="1" x14ac:dyDescent="0.25">
      <c r="A202" s="170"/>
      <c r="B202" s="170"/>
      <c r="C202" s="170"/>
      <c r="D202" s="170" t="s">
        <v>689</v>
      </c>
      <c r="E202" s="163">
        <v>76.219495945980796</v>
      </c>
      <c r="F202" s="164">
        <v>76.338870981555402</v>
      </c>
      <c r="G202" s="165">
        <v>77.029689205552998</v>
      </c>
      <c r="H202" s="176" t="s">
        <v>738</v>
      </c>
    </row>
    <row r="203" spans="1:8" s="43" customFormat="1" x14ac:dyDescent="0.25">
      <c r="A203" s="170"/>
      <c r="B203" s="170"/>
      <c r="C203" s="170"/>
      <c r="D203" s="170" t="s">
        <v>690</v>
      </c>
      <c r="E203" s="163">
        <v>57.7259495348125</v>
      </c>
      <c r="F203" s="164">
        <v>57.196401948724898</v>
      </c>
      <c r="G203" s="165">
        <v>57.772001598538097</v>
      </c>
      <c r="H203" s="43" t="s">
        <v>697</v>
      </c>
    </row>
    <row r="204" spans="1:8" s="43" customFormat="1" x14ac:dyDescent="0.25">
      <c r="A204" s="170"/>
      <c r="B204" s="170"/>
      <c r="C204" s="170"/>
      <c r="D204" s="170" t="s">
        <v>671</v>
      </c>
      <c r="E204" s="163">
        <v>48.825222263911698</v>
      </c>
      <c r="F204" s="164">
        <v>49.693414690369998</v>
      </c>
      <c r="G204" s="165">
        <v>53.247769798437602</v>
      </c>
    </row>
    <row r="205" spans="1:8" s="43" customFormat="1" x14ac:dyDescent="0.25">
      <c r="A205" s="170"/>
      <c r="B205" s="170"/>
      <c r="C205" s="170"/>
      <c r="D205" s="170" t="s">
        <v>691</v>
      </c>
      <c r="E205" s="163">
        <v>37.849841178497201</v>
      </c>
      <c r="F205" s="164">
        <v>36.651837856374001</v>
      </c>
      <c r="G205" s="165">
        <v>36.021222565281697</v>
      </c>
    </row>
    <row r="206" spans="1:8" s="43" customFormat="1" x14ac:dyDescent="0.25">
      <c r="A206" s="170"/>
      <c r="B206" s="170"/>
      <c r="C206" s="170"/>
      <c r="D206" s="170" t="s">
        <v>692</v>
      </c>
      <c r="E206" s="163">
        <v>27.342838598279101</v>
      </c>
      <c r="F206" s="164">
        <v>30.2716312824144</v>
      </c>
      <c r="G206" s="165">
        <v>33.170277173060498</v>
      </c>
    </row>
    <row r="207" spans="1:8" s="43" customFormat="1" x14ac:dyDescent="0.25">
      <c r="A207" s="170"/>
      <c r="B207" s="170"/>
      <c r="C207" s="170"/>
      <c r="D207" s="170" t="s">
        <v>675</v>
      </c>
      <c r="E207" s="169">
        <v>0.14045178482376899</v>
      </c>
      <c r="F207" s="167">
        <v>6.8640475141334395E-2</v>
      </c>
      <c r="G207" s="168">
        <v>5.89586840918149E-2</v>
      </c>
    </row>
    <row r="208" spans="1:8" s="43" customFormat="1" x14ac:dyDescent="0.25">
      <c r="A208" s="170"/>
      <c r="B208" s="170"/>
      <c r="C208" s="170"/>
      <c r="D208" s="170" t="s">
        <v>693</v>
      </c>
      <c r="E208" s="169">
        <v>1.36878400878178</v>
      </c>
      <c r="F208" s="167">
        <v>0.91210465036454802</v>
      </c>
      <c r="G208" s="168">
        <v>0.79883076867666503</v>
      </c>
    </row>
    <row r="209" spans="1:8" s="43" customFormat="1" x14ac:dyDescent="0.25">
      <c r="A209" s="170"/>
      <c r="B209" s="170"/>
      <c r="C209" s="170"/>
      <c r="D209" s="170" t="s">
        <v>694</v>
      </c>
      <c r="E209" s="169">
        <v>0.99553184077910495</v>
      </c>
      <c r="F209" s="167">
        <v>0.93911965144209197</v>
      </c>
      <c r="G209" s="168">
        <v>0.91300505674830901</v>
      </c>
    </row>
    <row r="210" spans="1:8" s="43" customFormat="1" x14ac:dyDescent="0.25">
      <c r="A210" s="170"/>
      <c r="B210" s="170"/>
      <c r="C210" s="170"/>
      <c r="D210" s="170" t="s">
        <v>695</v>
      </c>
      <c r="E210" s="169">
        <v>2.5260948404171599</v>
      </c>
      <c r="F210" s="167">
        <v>2.11681861563155</v>
      </c>
      <c r="G210" s="168">
        <v>2.31075768577815</v>
      </c>
    </row>
    <row r="211" spans="1:8" s="43" customFormat="1" x14ac:dyDescent="0.25">
      <c r="A211" s="170"/>
      <c r="B211" s="170"/>
      <c r="C211" s="170"/>
      <c r="D211" s="170" t="s">
        <v>696</v>
      </c>
      <c r="E211" s="169">
        <v>1.92227365396064</v>
      </c>
      <c r="F211" s="167">
        <v>2.8381915081473101</v>
      </c>
      <c r="G211" s="168">
        <v>2.70770280422964</v>
      </c>
    </row>
    <row r="212" spans="1:8" s="43" customFormat="1" x14ac:dyDescent="0.25">
      <c r="A212" s="170"/>
      <c r="B212" s="170"/>
      <c r="C212" s="170"/>
      <c r="D212" s="170"/>
      <c r="E212" s="185">
        <v>2012</v>
      </c>
      <c r="F212" s="185">
        <v>2013</v>
      </c>
      <c r="G212" s="185">
        <v>2014</v>
      </c>
      <c r="H212" s="176" t="s">
        <v>739</v>
      </c>
    </row>
    <row r="213" spans="1:8" s="189" customFormat="1" ht="30" x14ac:dyDescent="0.25">
      <c r="A213" s="173" t="s">
        <v>736</v>
      </c>
      <c r="B213" s="173" t="s">
        <v>734</v>
      </c>
      <c r="C213" s="173" t="s">
        <v>473</v>
      </c>
      <c r="D213" s="173"/>
      <c r="E213" s="185">
        <v>81.099999999999994</v>
      </c>
      <c r="F213" s="185">
        <v>80.900000000000006</v>
      </c>
      <c r="G213" s="185">
        <v>80.900000000000006</v>
      </c>
    </row>
    <row r="214" spans="1:8" s="189" customFormat="1" x14ac:dyDescent="0.25">
      <c r="A214" s="173"/>
      <c r="B214" s="173"/>
      <c r="C214" s="173"/>
      <c r="D214" s="173" t="s">
        <v>740</v>
      </c>
      <c r="E214" s="163"/>
      <c r="F214" s="164">
        <v>100</v>
      </c>
      <c r="G214" s="165">
        <v>100</v>
      </c>
    </row>
    <row r="215" spans="1:8" s="189" customFormat="1" x14ac:dyDescent="0.25">
      <c r="A215" s="173"/>
      <c r="B215" s="173"/>
      <c r="C215" s="173"/>
      <c r="D215" s="173" t="s">
        <v>741</v>
      </c>
      <c r="E215" s="163">
        <v>99.5</v>
      </c>
      <c r="F215" s="164">
        <v>99.6</v>
      </c>
      <c r="G215" s="165">
        <v>99.9</v>
      </c>
    </row>
    <row r="216" spans="1:8" s="189" customFormat="1" x14ac:dyDescent="0.25">
      <c r="A216" s="173"/>
      <c r="B216" s="173"/>
      <c r="C216" s="173"/>
      <c r="D216" s="173" t="s">
        <v>742</v>
      </c>
      <c r="E216" s="163">
        <v>98.9</v>
      </c>
      <c r="F216" s="164">
        <v>99.2</v>
      </c>
      <c r="G216" s="165">
        <v>99.2</v>
      </c>
    </row>
    <row r="217" spans="1:8" s="189" customFormat="1" ht="15" customHeight="1" x14ac:dyDescent="0.25">
      <c r="A217" s="173"/>
      <c r="B217" s="173"/>
      <c r="C217" s="173"/>
      <c r="D217" s="173" t="s">
        <v>743</v>
      </c>
      <c r="E217" s="163">
        <v>99.3</v>
      </c>
      <c r="F217" s="164">
        <v>99</v>
      </c>
      <c r="G217" s="165">
        <v>99</v>
      </c>
    </row>
    <row r="218" spans="1:8" s="189" customFormat="1" x14ac:dyDescent="0.25">
      <c r="A218" s="173"/>
      <c r="B218" s="173"/>
      <c r="C218" s="173"/>
      <c r="D218" s="173" t="s">
        <v>744</v>
      </c>
      <c r="E218" s="163">
        <v>98.5</v>
      </c>
      <c r="F218" s="164">
        <v>98.2</v>
      </c>
      <c r="G218" s="165">
        <v>98.4</v>
      </c>
    </row>
    <row r="219" spans="1:8" s="189" customFormat="1" x14ac:dyDescent="0.25">
      <c r="A219" s="173"/>
      <c r="B219" s="173"/>
      <c r="C219" s="173"/>
      <c r="D219" s="173" t="s">
        <v>745</v>
      </c>
      <c r="E219" s="169">
        <v>10.3</v>
      </c>
      <c r="F219" s="167">
        <v>10.4</v>
      </c>
      <c r="G219" s="168">
        <v>10.9</v>
      </c>
    </row>
    <row r="220" spans="1:8" s="189" customFormat="1" x14ac:dyDescent="0.25">
      <c r="A220" s="173"/>
      <c r="B220" s="173"/>
      <c r="C220" s="173"/>
      <c r="D220" s="173" t="s">
        <v>746</v>
      </c>
      <c r="E220" s="169">
        <v>17.100000000000001</v>
      </c>
      <c r="F220" s="167">
        <v>18.3</v>
      </c>
      <c r="G220" s="168">
        <v>17.399999999999999</v>
      </c>
    </row>
    <row r="221" spans="1:8" s="189" customFormat="1" x14ac:dyDescent="0.25">
      <c r="A221" s="173"/>
      <c r="B221" s="173"/>
      <c r="C221" s="173"/>
      <c r="D221" s="173" t="s">
        <v>747</v>
      </c>
      <c r="E221" s="169">
        <v>18.8</v>
      </c>
      <c r="F221" s="167">
        <v>18.600000000000001</v>
      </c>
      <c r="G221" s="168">
        <v>18.899999999999999</v>
      </c>
    </row>
    <row r="222" spans="1:8" s="189" customFormat="1" x14ac:dyDescent="0.25">
      <c r="A222" s="173"/>
      <c r="B222" s="173"/>
      <c r="C222" s="173"/>
      <c r="D222" s="173" t="s">
        <v>748</v>
      </c>
      <c r="E222" s="169">
        <v>31</v>
      </c>
      <c r="F222" s="167">
        <v>30</v>
      </c>
      <c r="G222" s="168">
        <v>29.8</v>
      </c>
    </row>
    <row r="223" spans="1:8" s="189" customFormat="1" x14ac:dyDescent="0.25">
      <c r="A223" s="173"/>
      <c r="B223" s="173"/>
      <c r="C223" s="173"/>
      <c r="D223" s="173" t="s">
        <v>749</v>
      </c>
      <c r="E223" s="169">
        <v>33.799999999999997</v>
      </c>
      <c r="F223" s="167">
        <v>33.6</v>
      </c>
      <c r="G223" s="168">
        <v>33.700000000000003</v>
      </c>
    </row>
    <row r="224" spans="1:8" s="189" customFormat="1" x14ac:dyDescent="0.25">
      <c r="A224" s="173"/>
      <c r="B224" s="173"/>
      <c r="C224" s="173"/>
      <c r="D224" s="173"/>
      <c r="E224" s="185">
        <v>2013</v>
      </c>
      <c r="F224" s="185">
        <v>2014</v>
      </c>
      <c r="G224" s="185">
        <v>2015</v>
      </c>
    </row>
    <row r="225" spans="1:8" x14ac:dyDescent="0.25">
      <c r="A225" s="170" t="s">
        <v>571</v>
      </c>
      <c r="B225" s="170" t="s">
        <v>483</v>
      </c>
      <c r="C225" s="170" t="s">
        <v>843</v>
      </c>
      <c r="D225" s="170"/>
      <c r="E225" s="171">
        <v>5.488310501</v>
      </c>
      <c r="F225" s="171">
        <v>5.2860607750000002</v>
      </c>
      <c r="G225" s="171">
        <v>5.1313796829999996</v>
      </c>
      <c r="H225" s="176" t="s">
        <v>839</v>
      </c>
    </row>
    <row r="226" spans="1:8" s="43" customFormat="1" x14ac:dyDescent="0.25">
      <c r="A226" s="170"/>
      <c r="B226" s="170"/>
      <c r="C226" s="170"/>
      <c r="D226" s="238" t="s">
        <v>712</v>
      </c>
      <c r="E226" s="163">
        <v>16.734988560000001</v>
      </c>
      <c r="F226" s="164">
        <v>16.582300740000001</v>
      </c>
      <c r="G226" s="165">
        <v>17.310574519999999</v>
      </c>
    </row>
    <row r="227" spans="1:8" s="43" customFormat="1" x14ac:dyDescent="0.25">
      <c r="A227" s="170"/>
      <c r="B227" s="170"/>
      <c r="C227" s="170"/>
      <c r="D227" s="238" t="s">
        <v>840</v>
      </c>
      <c r="E227" s="163">
        <v>11.89074847</v>
      </c>
      <c r="F227" s="164">
        <v>11.0696613</v>
      </c>
      <c r="G227" s="165">
        <v>9.9933753870000004</v>
      </c>
    </row>
    <row r="228" spans="1:8" s="43" customFormat="1" x14ac:dyDescent="0.25">
      <c r="A228" s="170"/>
      <c r="B228" s="170"/>
      <c r="C228" s="170"/>
      <c r="D228" s="238" t="s">
        <v>776</v>
      </c>
      <c r="E228" s="163">
        <v>8.8373241339999993</v>
      </c>
      <c r="F228" s="164">
        <v>9.0336274939999992</v>
      </c>
      <c r="G228" s="165">
        <v>8.6993253500000005</v>
      </c>
    </row>
    <row r="229" spans="1:8" s="43" customFormat="1" x14ac:dyDescent="0.25">
      <c r="A229" s="170"/>
      <c r="B229" s="170"/>
      <c r="C229" s="170"/>
      <c r="D229" s="238" t="s">
        <v>841</v>
      </c>
      <c r="E229" s="163">
        <v>8.4565370820000005</v>
      </c>
      <c r="F229" s="164">
        <v>8.3456060240000003</v>
      </c>
      <c r="G229" s="165">
        <v>8.4132177509999995</v>
      </c>
    </row>
    <row r="230" spans="1:8" s="43" customFormat="1" x14ac:dyDescent="0.25">
      <c r="A230" s="170"/>
      <c r="B230" s="170"/>
      <c r="C230" s="170"/>
      <c r="D230" s="238" t="s">
        <v>842</v>
      </c>
      <c r="E230" s="163">
        <v>7.9524161830000004</v>
      </c>
      <c r="F230" s="164">
        <v>8.1606778260000006</v>
      </c>
      <c r="G230" s="165">
        <v>8.3922668569999992</v>
      </c>
    </row>
    <row r="231" spans="1:8" s="43" customFormat="1" x14ac:dyDescent="0.25">
      <c r="A231" s="170"/>
      <c r="B231" s="170"/>
      <c r="C231" s="170"/>
      <c r="D231" s="238" t="s">
        <v>708</v>
      </c>
      <c r="E231" s="169">
        <v>1.573636727</v>
      </c>
      <c r="F231" s="167">
        <v>1.5536858140000001</v>
      </c>
      <c r="G231" s="168">
        <v>1.488085793</v>
      </c>
    </row>
    <row r="232" spans="1:8" s="43" customFormat="1" x14ac:dyDescent="0.25">
      <c r="A232" s="170"/>
      <c r="B232" s="170"/>
      <c r="C232" s="170"/>
      <c r="D232" s="238" t="s">
        <v>681</v>
      </c>
      <c r="E232" s="169">
        <v>2.5662079969999998</v>
      </c>
      <c r="F232" s="167">
        <v>2.3651286439999999</v>
      </c>
      <c r="G232" s="168">
        <v>1.94829341</v>
      </c>
    </row>
    <row r="233" spans="1:8" s="43" customFormat="1" x14ac:dyDescent="0.25">
      <c r="A233" s="170"/>
      <c r="B233" s="170"/>
      <c r="C233" s="170"/>
      <c r="D233" s="238" t="s">
        <v>844</v>
      </c>
      <c r="E233" s="169">
        <v>1.9929817830000001</v>
      </c>
      <c r="F233" s="167">
        <v>2.0328378420000002</v>
      </c>
      <c r="G233" s="168">
        <v>2.0641317899999998</v>
      </c>
    </row>
    <row r="234" spans="1:8" s="43" customFormat="1" x14ac:dyDescent="0.25">
      <c r="A234" s="170"/>
      <c r="B234" s="170"/>
      <c r="C234" s="170"/>
      <c r="D234" s="238" t="s">
        <v>845</v>
      </c>
      <c r="E234" s="169">
        <v>2.1300609690000001</v>
      </c>
      <c r="F234" s="167">
        <v>2.1336234599999999</v>
      </c>
      <c r="G234" s="168">
        <v>2.1072221440000001</v>
      </c>
    </row>
    <row r="235" spans="1:8" s="43" customFormat="1" x14ac:dyDescent="0.25">
      <c r="A235" s="170"/>
      <c r="B235" s="170"/>
      <c r="C235" s="170"/>
      <c r="D235" s="238" t="s">
        <v>700</v>
      </c>
      <c r="E235" s="169">
        <v>2.5192469700000002</v>
      </c>
      <c r="F235" s="167">
        <v>2.2604591460000001</v>
      </c>
      <c r="G235" s="168">
        <v>2.194576273</v>
      </c>
    </row>
    <row r="236" spans="1:8" s="43" customFormat="1" x14ac:dyDescent="0.25">
      <c r="A236" s="170"/>
      <c r="B236" s="170"/>
      <c r="C236" s="170"/>
      <c r="D236" s="170"/>
      <c r="E236" s="185"/>
      <c r="F236" s="185"/>
      <c r="G236" s="185"/>
    </row>
    <row r="237" spans="1:8" ht="30" x14ac:dyDescent="0.25">
      <c r="A237" s="170" t="s">
        <v>572</v>
      </c>
      <c r="B237" s="170" t="s">
        <v>486</v>
      </c>
      <c r="C237" s="170" t="s">
        <v>191</v>
      </c>
      <c r="D237" s="170"/>
      <c r="G237" s="171">
        <v>2015</v>
      </c>
    </row>
    <row r="238" spans="1:8" s="43" customFormat="1" x14ac:dyDescent="0.25">
      <c r="A238" s="170"/>
      <c r="B238" s="170"/>
      <c r="C238" s="170"/>
      <c r="D238" s="236" t="s">
        <v>834</v>
      </c>
      <c r="E238" s="163"/>
      <c r="F238" s="164"/>
      <c r="G238" s="165">
        <v>1.4</v>
      </c>
      <c r="H238" s="176" t="s">
        <v>837</v>
      </c>
    </row>
    <row r="239" spans="1:8" s="43" customFormat="1" x14ac:dyDescent="0.25">
      <c r="A239" s="170"/>
      <c r="B239" s="170"/>
      <c r="C239" s="170"/>
      <c r="D239" s="236" t="s">
        <v>776</v>
      </c>
      <c r="E239" s="163"/>
      <c r="F239" s="164"/>
      <c r="G239" s="165">
        <v>1.4</v>
      </c>
    </row>
    <row r="240" spans="1:8" s="43" customFormat="1" x14ac:dyDescent="0.25">
      <c r="A240" s="170"/>
      <c r="B240" s="170"/>
      <c r="C240" s="170"/>
      <c r="D240" s="236" t="s">
        <v>777</v>
      </c>
      <c r="E240" s="163"/>
      <c r="F240" s="164"/>
      <c r="G240" s="165">
        <v>0.9</v>
      </c>
      <c r="H240" s="43" t="s">
        <v>838</v>
      </c>
    </row>
    <row r="241" spans="1:8" s="43" customFormat="1" x14ac:dyDescent="0.25">
      <c r="A241" s="170"/>
      <c r="B241" s="170"/>
      <c r="C241" s="170"/>
      <c r="D241" s="236" t="s">
        <v>715</v>
      </c>
      <c r="E241" s="163"/>
      <c r="F241" s="164"/>
      <c r="G241" s="165">
        <v>0.8</v>
      </c>
    </row>
    <row r="242" spans="1:8" s="43" customFormat="1" x14ac:dyDescent="0.25">
      <c r="A242" s="170"/>
      <c r="B242" s="170"/>
      <c r="C242" s="170"/>
      <c r="D242" s="236" t="s">
        <v>835</v>
      </c>
      <c r="E242" s="163"/>
      <c r="F242" s="164"/>
      <c r="G242" s="165">
        <v>0.8</v>
      </c>
    </row>
    <row r="243" spans="1:8" s="43" customFormat="1" x14ac:dyDescent="0.25">
      <c r="A243" s="170"/>
      <c r="B243" s="170"/>
      <c r="C243" s="170"/>
      <c r="D243" s="237" t="s">
        <v>691</v>
      </c>
      <c r="E243" s="169"/>
      <c r="F243" s="167"/>
      <c r="G243" s="168">
        <v>0.5</v>
      </c>
    </row>
    <row r="244" spans="1:8" s="43" customFormat="1" x14ac:dyDescent="0.25">
      <c r="A244" s="170"/>
      <c r="B244" s="170"/>
      <c r="C244" s="170"/>
      <c r="D244" s="237" t="s">
        <v>778</v>
      </c>
      <c r="E244" s="169"/>
      <c r="F244" s="167"/>
      <c r="G244" s="168">
        <v>0.4</v>
      </c>
    </row>
    <row r="245" spans="1:8" s="43" customFormat="1" x14ac:dyDescent="0.25">
      <c r="A245" s="170"/>
      <c r="B245" s="170"/>
      <c r="C245" s="170"/>
      <c r="D245" s="237" t="s">
        <v>720</v>
      </c>
      <c r="E245" s="169"/>
      <c r="F245" s="167"/>
      <c r="G245" s="168">
        <v>0.3</v>
      </c>
    </row>
    <row r="246" spans="1:8" s="43" customFormat="1" x14ac:dyDescent="0.25">
      <c r="A246" s="170"/>
      <c r="B246" s="170"/>
      <c r="C246" s="170"/>
      <c r="D246" s="237" t="s">
        <v>836</v>
      </c>
      <c r="E246" s="169"/>
      <c r="F246" s="167"/>
      <c r="G246" s="168">
        <v>0.3</v>
      </c>
    </row>
    <row r="247" spans="1:8" s="43" customFormat="1" x14ac:dyDescent="0.25">
      <c r="A247" s="170"/>
      <c r="B247" s="170"/>
      <c r="C247" s="170"/>
      <c r="D247" s="237" t="s">
        <v>703</v>
      </c>
      <c r="E247" s="169"/>
      <c r="F247" s="167"/>
      <c r="G247" s="168">
        <v>0.2</v>
      </c>
    </row>
    <row r="248" spans="1:8" s="43" customFormat="1" x14ac:dyDescent="0.25">
      <c r="A248" s="170"/>
      <c r="B248" s="170"/>
      <c r="C248" s="170"/>
      <c r="D248" s="170"/>
      <c r="E248" s="185">
        <v>2016</v>
      </c>
      <c r="F248" s="185">
        <v>2017</v>
      </c>
      <c r="G248" s="185">
        <v>2018</v>
      </c>
    </row>
    <row r="249" spans="1:8" ht="30" x14ac:dyDescent="0.25">
      <c r="A249" s="170" t="s">
        <v>527</v>
      </c>
      <c r="B249" s="170" t="s">
        <v>578</v>
      </c>
      <c r="C249" s="170" t="s">
        <v>582</v>
      </c>
      <c r="D249" s="170"/>
      <c r="E249" s="171">
        <v>10.2580066199183</v>
      </c>
      <c r="F249" s="171">
        <v>10.780813151679199</v>
      </c>
      <c r="G249" s="171">
        <v>11.317270582730499</v>
      </c>
      <c r="H249" s="176" t="s">
        <v>698</v>
      </c>
    </row>
    <row r="250" spans="1:8" s="43" customFormat="1" x14ac:dyDescent="0.25">
      <c r="A250" s="170"/>
      <c r="B250" s="170"/>
      <c r="C250" s="170"/>
      <c r="D250" s="170" t="s">
        <v>699</v>
      </c>
      <c r="E250" s="163">
        <v>104.278390971905</v>
      </c>
      <c r="F250" s="164">
        <v>107.361306947271</v>
      </c>
      <c r="G250" s="165">
        <v>116.59729563795399</v>
      </c>
    </row>
    <row r="251" spans="1:8" s="43" customFormat="1" x14ac:dyDescent="0.25">
      <c r="A251" s="170"/>
      <c r="B251" s="170"/>
      <c r="C251" s="170"/>
      <c r="D251" s="170" t="s">
        <v>700</v>
      </c>
      <c r="E251" s="163">
        <v>80.172193303926605</v>
      </c>
      <c r="F251" s="164">
        <v>80.450045819741291</v>
      </c>
      <c r="G251" s="165">
        <v>82.828797372173</v>
      </c>
    </row>
    <row r="252" spans="1:8" s="43" customFormat="1" x14ac:dyDescent="0.25">
      <c r="A252" s="170"/>
      <c r="B252" s="170"/>
      <c r="C252" s="170"/>
      <c r="D252" s="170" t="s">
        <v>701</v>
      </c>
      <c r="E252" s="163">
        <v>57.1630609918357</v>
      </c>
      <c r="F252" s="164">
        <v>61.264396477797895</v>
      </c>
      <c r="G252" s="165">
        <v>68.793784437261408</v>
      </c>
    </row>
    <row r="253" spans="1:8" s="43" customFormat="1" x14ac:dyDescent="0.25">
      <c r="A253" s="170"/>
      <c r="B253" s="170"/>
      <c r="C253" s="170"/>
      <c r="D253" s="170" t="s">
        <v>702</v>
      </c>
      <c r="E253" s="163">
        <v>56.724170385886296</v>
      </c>
      <c r="F253" s="164">
        <v>60.2977937806208</v>
      </c>
      <c r="G253" s="165">
        <v>64.581944018395404</v>
      </c>
    </row>
    <row r="254" spans="1:8" s="43" customFormat="1" x14ac:dyDescent="0.25">
      <c r="A254" s="170"/>
      <c r="B254" s="170"/>
      <c r="C254" s="170"/>
      <c r="D254" s="170" t="s">
        <v>703</v>
      </c>
      <c r="E254" s="163">
        <v>57.927516851506205</v>
      </c>
      <c r="F254" s="164">
        <v>59.957725851303202</v>
      </c>
      <c r="G254" s="165">
        <v>62.8868364845599</v>
      </c>
    </row>
    <row r="255" spans="1:8" s="43" customFormat="1" x14ac:dyDescent="0.25">
      <c r="A255" s="170"/>
      <c r="B255" s="170"/>
      <c r="C255" s="170"/>
      <c r="D255" s="170" t="s">
        <v>683</v>
      </c>
      <c r="E255" s="169">
        <v>0.29596785164512701</v>
      </c>
      <c r="F255" s="167">
        <v>0.30905535477005602</v>
      </c>
      <c r="G255" s="168">
        <v>0.31454416567076299</v>
      </c>
    </row>
    <row r="256" spans="1:8" s="43" customFormat="1" x14ac:dyDescent="0.25">
      <c r="A256" s="170"/>
      <c r="B256" s="170"/>
      <c r="C256" s="170"/>
      <c r="D256" s="170" t="s">
        <v>676</v>
      </c>
      <c r="E256" s="169">
        <v>0.36213113227433397</v>
      </c>
      <c r="F256" s="167">
        <v>0.37586948967352202</v>
      </c>
      <c r="G256" s="168">
        <v>0.41398030496208899</v>
      </c>
    </row>
    <row r="257" spans="1:7" s="43" customFormat="1" x14ac:dyDescent="0.25">
      <c r="A257" s="170"/>
      <c r="B257" s="170"/>
      <c r="C257" s="170"/>
      <c r="D257" s="170" t="s">
        <v>704</v>
      </c>
      <c r="E257" s="169">
        <v>0.54722811015036299</v>
      </c>
      <c r="F257" s="167">
        <v>0.55630213850850807</v>
      </c>
      <c r="G257" s="168">
        <v>0.52089660271913496</v>
      </c>
    </row>
    <row r="258" spans="1:7" s="43" customFormat="1" x14ac:dyDescent="0.25">
      <c r="A258" s="170"/>
      <c r="B258" s="170"/>
      <c r="C258" s="170"/>
      <c r="D258" s="170" t="s">
        <v>705</v>
      </c>
      <c r="E258" s="169">
        <v>0.50141571285783193</v>
      </c>
      <c r="F258" s="167">
        <v>0.49938070781976002</v>
      </c>
      <c r="G258" s="168">
        <v>0.53399118425893599</v>
      </c>
    </row>
    <row r="259" spans="1:7" s="43" customFormat="1" x14ac:dyDescent="0.25">
      <c r="A259" s="170"/>
      <c r="B259" s="170"/>
      <c r="C259" s="170"/>
      <c r="D259" s="170" t="s">
        <v>706</v>
      </c>
      <c r="E259" s="169">
        <v>0.47131884040957195</v>
      </c>
      <c r="F259" s="167">
        <v>0.46707423746489002</v>
      </c>
      <c r="G259" s="168">
        <v>0.56177718239042496</v>
      </c>
    </row>
    <row r="260" spans="1:7" s="43" customFormat="1" x14ac:dyDescent="0.25">
      <c r="A260" s="170"/>
      <c r="B260" s="170"/>
      <c r="C260" s="170"/>
      <c r="D260" s="170"/>
      <c r="E260" s="185"/>
      <c r="F260" s="185"/>
      <c r="G260" s="185"/>
    </row>
    <row r="261" spans="1:7" ht="30" x14ac:dyDescent="0.25">
      <c r="A261" s="170" t="s">
        <v>528</v>
      </c>
      <c r="B261" s="170" t="s">
        <v>579</v>
      </c>
      <c r="C261" s="170"/>
      <c r="D261" s="170"/>
    </row>
    <row r="262" spans="1:7" s="43" customFormat="1" x14ac:dyDescent="0.25">
      <c r="A262" s="170"/>
      <c r="B262" s="170"/>
      <c r="C262" s="170"/>
      <c r="D262" s="170"/>
      <c r="E262" s="163"/>
      <c r="F262" s="164"/>
      <c r="G262" s="165"/>
    </row>
    <row r="263" spans="1:7" s="43" customFormat="1" x14ac:dyDescent="0.25">
      <c r="A263" s="170"/>
      <c r="B263" s="170"/>
      <c r="C263" s="170"/>
      <c r="D263" s="170"/>
      <c r="E263" s="163"/>
      <c r="F263" s="164"/>
      <c r="G263" s="165"/>
    </row>
    <row r="264" spans="1:7" s="43" customFormat="1" x14ac:dyDescent="0.25">
      <c r="A264" s="170"/>
      <c r="B264" s="170"/>
      <c r="C264" s="170"/>
      <c r="D264" s="170"/>
      <c r="E264" s="163"/>
      <c r="F264" s="164"/>
      <c r="G264" s="165"/>
    </row>
    <row r="265" spans="1:7" s="43" customFormat="1" x14ac:dyDescent="0.25">
      <c r="A265" s="170"/>
      <c r="B265" s="170"/>
      <c r="C265" s="170"/>
      <c r="D265" s="170"/>
      <c r="E265" s="163"/>
      <c r="F265" s="164"/>
      <c r="G265" s="165"/>
    </row>
    <row r="266" spans="1:7" s="43" customFormat="1" x14ac:dyDescent="0.25">
      <c r="A266" s="170"/>
      <c r="B266" s="170"/>
      <c r="C266" s="170"/>
      <c r="D266" s="170"/>
      <c r="E266" s="163"/>
      <c r="F266" s="164"/>
      <c r="G266" s="165"/>
    </row>
    <row r="267" spans="1:7" s="43" customFormat="1" x14ac:dyDescent="0.25">
      <c r="A267" s="170"/>
      <c r="B267" s="170"/>
      <c r="C267" s="170"/>
      <c r="D267" s="170"/>
      <c r="E267" s="169"/>
      <c r="F267" s="167"/>
      <c r="G267" s="168"/>
    </row>
    <row r="268" spans="1:7" s="43" customFormat="1" x14ac:dyDescent="0.25">
      <c r="A268" s="170"/>
      <c r="B268" s="170"/>
      <c r="C268" s="170"/>
      <c r="D268" s="170"/>
      <c r="E268" s="169"/>
      <c r="F268" s="167"/>
      <c r="G268" s="168"/>
    </row>
    <row r="269" spans="1:7" s="43" customFormat="1" x14ac:dyDescent="0.25">
      <c r="A269" s="170"/>
      <c r="B269" s="170"/>
      <c r="C269" s="170"/>
      <c r="D269" s="170"/>
      <c r="E269" s="169"/>
      <c r="F269" s="167"/>
      <c r="G269" s="168"/>
    </row>
    <row r="270" spans="1:7" s="43" customFormat="1" x14ac:dyDescent="0.25">
      <c r="A270" s="170"/>
      <c r="B270" s="170"/>
      <c r="C270" s="170"/>
      <c r="D270" s="170"/>
      <c r="E270" s="169"/>
      <c r="F270" s="167"/>
      <c r="G270" s="168"/>
    </row>
    <row r="271" spans="1:7" s="43" customFormat="1" x14ac:dyDescent="0.25">
      <c r="A271" s="170"/>
      <c r="B271" s="170"/>
      <c r="C271" s="170"/>
      <c r="D271" s="170"/>
      <c r="E271" s="169"/>
      <c r="F271" s="167"/>
      <c r="G271" s="168"/>
    </row>
    <row r="272" spans="1:7" s="43" customFormat="1" x14ac:dyDescent="0.25">
      <c r="A272" s="170"/>
      <c r="B272" s="170"/>
      <c r="C272" s="170"/>
      <c r="D272" s="170"/>
      <c r="E272" s="185"/>
      <c r="F272" s="185"/>
      <c r="G272" s="185"/>
    </row>
    <row r="273" spans="1:8" x14ac:dyDescent="0.25">
      <c r="A273" s="170" t="s">
        <v>761</v>
      </c>
      <c r="B273" s="170" t="s">
        <v>500</v>
      </c>
      <c r="C273" s="170" t="s">
        <v>583</v>
      </c>
      <c r="D273" s="170"/>
    </row>
    <row r="274" spans="1:8" s="43" customFormat="1" x14ac:dyDescent="0.25">
      <c r="A274" s="170"/>
      <c r="B274" s="170"/>
      <c r="C274" s="170"/>
      <c r="D274" s="170"/>
      <c r="E274" s="163"/>
      <c r="F274" s="164"/>
      <c r="G274" s="165"/>
    </row>
    <row r="275" spans="1:8" s="43" customFormat="1" x14ac:dyDescent="0.25">
      <c r="A275" s="170"/>
      <c r="B275" s="170"/>
      <c r="C275" s="170"/>
      <c r="D275" s="170"/>
      <c r="E275" s="163"/>
      <c r="F275" s="164"/>
      <c r="G275" s="165"/>
    </row>
    <row r="276" spans="1:8" s="43" customFormat="1" x14ac:dyDescent="0.25">
      <c r="A276" s="170"/>
      <c r="B276" s="170"/>
      <c r="C276" s="170"/>
      <c r="D276" s="170"/>
      <c r="E276" s="163"/>
      <c r="F276" s="164"/>
      <c r="G276" s="165"/>
    </row>
    <row r="277" spans="1:8" s="43" customFormat="1" x14ac:dyDescent="0.25">
      <c r="A277" s="170"/>
      <c r="B277" s="170"/>
      <c r="C277" s="170"/>
      <c r="D277" s="170"/>
      <c r="E277" s="163"/>
      <c r="F277" s="164"/>
      <c r="G277" s="165"/>
    </row>
    <row r="278" spans="1:8" s="43" customFormat="1" x14ac:dyDescent="0.25">
      <c r="A278" s="170"/>
      <c r="B278" s="170"/>
      <c r="C278" s="170"/>
      <c r="D278" s="170"/>
      <c r="E278" s="163"/>
      <c r="F278" s="164"/>
      <c r="G278" s="165"/>
    </row>
    <row r="279" spans="1:8" s="43" customFormat="1" x14ac:dyDescent="0.25">
      <c r="A279" s="170"/>
      <c r="B279" s="170"/>
      <c r="C279" s="170"/>
      <c r="D279" s="170"/>
      <c r="E279" s="169"/>
      <c r="F279" s="167"/>
      <c r="G279" s="168"/>
    </row>
    <row r="280" spans="1:8" s="43" customFormat="1" x14ac:dyDescent="0.25">
      <c r="A280" s="170"/>
      <c r="B280" s="170"/>
      <c r="C280" s="170"/>
      <c r="D280" s="170"/>
      <c r="E280" s="169"/>
      <c r="F280" s="167"/>
      <c r="G280" s="168"/>
    </row>
    <row r="281" spans="1:8" s="43" customFormat="1" x14ac:dyDescent="0.25">
      <c r="A281" s="170"/>
      <c r="B281" s="170"/>
      <c r="C281" s="170"/>
      <c r="D281" s="170"/>
      <c r="E281" s="169"/>
      <c r="F281" s="167"/>
      <c r="G281" s="168"/>
    </row>
    <row r="282" spans="1:8" s="43" customFormat="1" x14ac:dyDescent="0.25">
      <c r="A282" s="170"/>
      <c r="B282" s="170"/>
      <c r="C282" s="170"/>
      <c r="D282" s="170"/>
      <c r="E282" s="169"/>
      <c r="F282" s="167"/>
      <c r="G282" s="168"/>
    </row>
    <row r="283" spans="1:8" s="43" customFormat="1" x14ac:dyDescent="0.25">
      <c r="A283" s="170"/>
      <c r="B283" s="170"/>
      <c r="C283" s="170"/>
      <c r="D283" s="170"/>
      <c r="E283" s="169"/>
      <c r="F283" s="167"/>
      <c r="G283" s="168"/>
    </row>
    <row r="284" spans="1:8" s="43" customFormat="1" x14ac:dyDescent="0.25">
      <c r="A284" s="170"/>
      <c r="B284" s="170"/>
      <c r="D284" s="170"/>
      <c r="E284" s="185">
        <v>2014</v>
      </c>
      <c r="F284" s="185">
        <v>2015</v>
      </c>
      <c r="G284" s="185">
        <v>2016</v>
      </c>
    </row>
    <row r="285" spans="1:8" s="191" customFormat="1" x14ac:dyDescent="0.25">
      <c r="A285" s="173" t="s">
        <v>760</v>
      </c>
      <c r="B285" s="173" t="s">
        <v>758</v>
      </c>
      <c r="C285" s="170" t="s">
        <v>759</v>
      </c>
      <c r="D285" s="173"/>
      <c r="E285" s="185">
        <v>0.3</v>
      </c>
      <c r="F285" s="185">
        <v>0.3</v>
      </c>
      <c r="G285" s="185">
        <v>0.3</v>
      </c>
      <c r="H285" s="176" t="s">
        <v>762</v>
      </c>
    </row>
    <row r="286" spans="1:8" s="191" customFormat="1" x14ac:dyDescent="0.25">
      <c r="A286" s="173"/>
      <c r="B286" s="173"/>
      <c r="C286" s="173"/>
      <c r="D286" s="173" t="s">
        <v>763</v>
      </c>
      <c r="E286" s="163">
        <v>0.94</v>
      </c>
      <c r="F286" s="164">
        <v>0.89</v>
      </c>
      <c r="G286" s="165">
        <v>0.96</v>
      </c>
    </row>
    <row r="287" spans="1:8" s="191" customFormat="1" x14ac:dyDescent="0.25">
      <c r="A287" s="173"/>
      <c r="B287" s="173"/>
      <c r="C287" s="173"/>
      <c r="D287" s="173" t="s">
        <v>764</v>
      </c>
      <c r="E287" s="163">
        <v>0.87</v>
      </c>
      <c r="F287" s="164">
        <v>0.85</v>
      </c>
      <c r="G287" s="165">
        <v>0.79</v>
      </c>
    </row>
    <row r="288" spans="1:8" s="191" customFormat="1" x14ac:dyDescent="0.25">
      <c r="A288" s="173"/>
      <c r="B288" s="173"/>
      <c r="C288" s="173"/>
      <c r="D288" s="173" t="s">
        <v>765</v>
      </c>
      <c r="E288" s="163">
        <v>0.66</v>
      </c>
      <c r="F288" s="164">
        <v>0.61</v>
      </c>
      <c r="G288" s="165">
        <v>0.62</v>
      </c>
    </row>
    <row r="289" spans="1:7" s="191" customFormat="1" x14ac:dyDescent="0.25">
      <c r="A289" s="173"/>
      <c r="B289" s="173"/>
      <c r="C289" s="173"/>
      <c r="D289" s="173" t="s">
        <v>766</v>
      </c>
      <c r="E289" s="163">
        <v>0.67</v>
      </c>
      <c r="F289" s="164">
        <v>0.6</v>
      </c>
      <c r="G289" s="165">
        <v>0.62</v>
      </c>
    </row>
    <row r="290" spans="1:7" s="191" customFormat="1" x14ac:dyDescent="0.25">
      <c r="A290" s="173"/>
      <c r="B290" s="173"/>
      <c r="C290" s="173"/>
      <c r="D290" s="173" t="s">
        <v>742</v>
      </c>
      <c r="E290" s="163">
        <v>0.57999999999999996</v>
      </c>
      <c r="F290" s="164">
        <v>0.56000000000000005</v>
      </c>
      <c r="G290" s="165">
        <v>0.56000000000000005</v>
      </c>
    </row>
    <row r="291" spans="1:7" s="191" customFormat="1" x14ac:dyDescent="0.25">
      <c r="A291" s="173"/>
      <c r="B291" s="173"/>
      <c r="C291" s="173"/>
      <c r="D291" s="173" t="s">
        <v>748</v>
      </c>
      <c r="E291" s="169">
        <v>0.09</v>
      </c>
      <c r="F291" s="167">
        <v>0.09</v>
      </c>
      <c r="G291" s="168">
        <v>0.08</v>
      </c>
    </row>
    <row r="292" spans="1:7" s="191" customFormat="1" x14ac:dyDescent="0.25">
      <c r="A292" s="173"/>
      <c r="B292" s="173"/>
      <c r="C292" s="173"/>
      <c r="D292" s="173" t="s">
        <v>725</v>
      </c>
      <c r="E292" s="169">
        <v>0.08</v>
      </c>
      <c r="F292" s="167">
        <v>0.08</v>
      </c>
      <c r="G292" s="168">
        <v>0.08</v>
      </c>
    </row>
    <row r="293" spans="1:7" s="191" customFormat="1" x14ac:dyDescent="0.25">
      <c r="A293" s="173"/>
      <c r="B293" s="173"/>
      <c r="C293" s="173"/>
      <c r="D293" s="173" t="s">
        <v>767</v>
      </c>
      <c r="E293" s="169">
        <v>0.08</v>
      </c>
      <c r="F293" s="167">
        <v>0.09</v>
      </c>
      <c r="G293" s="168">
        <v>0.09</v>
      </c>
    </row>
    <row r="294" spans="1:7" s="191" customFormat="1" x14ac:dyDescent="0.25">
      <c r="A294" s="173"/>
      <c r="B294" s="173"/>
      <c r="C294" s="173"/>
      <c r="D294" s="173" t="s">
        <v>768</v>
      </c>
      <c r="E294" s="169">
        <v>0.11</v>
      </c>
      <c r="F294" s="167">
        <v>0.1</v>
      </c>
      <c r="G294" s="168">
        <v>0.1</v>
      </c>
    </row>
    <row r="295" spans="1:7" s="191" customFormat="1" ht="15" customHeight="1" x14ac:dyDescent="0.25">
      <c r="A295" s="173"/>
      <c r="B295" s="173"/>
      <c r="C295" s="173"/>
      <c r="D295" s="173" t="s">
        <v>769</v>
      </c>
      <c r="E295" s="169">
        <v>0.13</v>
      </c>
      <c r="F295" s="167">
        <v>0.11</v>
      </c>
      <c r="G295" s="168">
        <v>0.11</v>
      </c>
    </row>
    <row r="296" spans="1:7" s="191" customFormat="1" x14ac:dyDescent="0.25">
      <c r="A296" s="173"/>
      <c r="B296" s="173"/>
      <c r="C296" s="173"/>
      <c r="D296" s="173"/>
      <c r="E296" s="185"/>
      <c r="F296" s="185"/>
      <c r="G296" s="185"/>
    </row>
    <row r="297" spans="1:7" ht="30" x14ac:dyDescent="0.25">
      <c r="A297" s="170" t="s">
        <v>580</v>
      </c>
      <c r="B297" s="170" t="s">
        <v>581</v>
      </c>
      <c r="C297" s="170" t="s">
        <v>191</v>
      </c>
      <c r="D297" s="170"/>
    </row>
    <row r="298" spans="1:7" s="43" customFormat="1" x14ac:dyDescent="0.25">
      <c r="A298" s="170"/>
      <c r="B298" s="170"/>
      <c r="C298" s="170"/>
      <c r="D298" s="170"/>
      <c r="E298" s="163"/>
      <c r="F298" s="164"/>
      <c r="G298" s="165"/>
    </row>
    <row r="299" spans="1:7" s="43" customFormat="1" x14ac:dyDescent="0.25">
      <c r="A299" s="170"/>
      <c r="B299" s="170"/>
      <c r="C299" s="170"/>
      <c r="D299" s="170"/>
      <c r="E299" s="163"/>
      <c r="F299" s="164"/>
      <c r="G299" s="165"/>
    </row>
    <row r="300" spans="1:7" s="43" customFormat="1" x14ac:dyDescent="0.25">
      <c r="A300" s="170"/>
      <c r="B300" s="170"/>
      <c r="C300" s="170"/>
      <c r="D300" s="170"/>
      <c r="E300" s="163"/>
      <c r="F300" s="164"/>
      <c r="G300" s="165"/>
    </row>
    <row r="301" spans="1:7" s="43" customFormat="1" x14ac:dyDescent="0.25">
      <c r="A301" s="170"/>
      <c r="B301" s="170"/>
      <c r="C301" s="170"/>
      <c r="D301" s="170"/>
      <c r="E301" s="163"/>
      <c r="F301" s="164"/>
      <c r="G301" s="165"/>
    </row>
    <row r="302" spans="1:7" s="43" customFormat="1" x14ac:dyDescent="0.25">
      <c r="A302" s="170"/>
      <c r="B302" s="170"/>
      <c r="C302" s="170"/>
      <c r="D302" s="170"/>
      <c r="E302" s="163"/>
      <c r="F302" s="164"/>
      <c r="G302" s="165"/>
    </row>
    <row r="303" spans="1:7" s="43" customFormat="1" x14ac:dyDescent="0.25">
      <c r="A303" s="170"/>
      <c r="B303" s="170"/>
      <c r="C303" s="170"/>
      <c r="D303" s="170"/>
      <c r="E303" s="169"/>
      <c r="F303" s="167"/>
      <c r="G303" s="168"/>
    </row>
    <row r="304" spans="1:7" s="43" customFormat="1" x14ac:dyDescent="0.25">
      <c r="A304" s="170"/>
      <c r="B304" s="170"/>
      <c r="C304" s="170"/>
      <c r="D304" s="170"/>
      <c r="E304" s="169"/>
      <c r="F304" s="167"/>
      <c r="G304" s="168"/>
    </row>
    <row r="305" spans="1:7" s="43" customFormat="1" x14ac:dyDescent="0.25">
      <c r="A305" s="170"/>
      <c r="B305" s="170"/>
      <c r="C305" s="170"/>
      <c r="D305" s="170"/>
      <c r="E305" s="169"/>
      <c r="F305" s="167"/>
      <c r="G305" s="168"/>
    </row>
    <row r="306" spans="1:7" s="43" customFormat="1" x14ac:dyDescent="0.25">
      <c r="A306" s="170"/>
      <c r="B306" s="170"/>
      <c r="C306" s="170"/>
      <c r="D306" s="170"/>
      <c r="E306" s="169"/>
      <c r="F306" s="167"/>
      <c r="G306" s="168"/>
    </row>
    <row r="307" spans="1:7" s="43" customFormat="1" x14ac:dyDescent="0.25">
      <c r="A307" s="170"/>
      <c r="B307" s="170"/>
      <c r="C307" s="170"/>
      <c r="D307" s="170"/>
      <c r="E307" s="169"/>
      <c r="F307" s="167"/>
      <c r="G307" s="168"/>
    </row>
    <row r="308" spans="1:7" s="43" customFormat="1" x14ac:dyDescent="0.25">
      <c r="A308" s="170"/>
      <c r="B308" s="170"/>
      <c r="C308" s="170"/>
      <c r="D308" s="170"/>
      <c r="E308" s="185"/>
      <c r="F308" s="185"/>
      <c r="G308" s="185"/>
    </row>
    <row r="309" spans="1:7" ht="30" x14ac:dyDescent="0.25">
      <c r="A309" s="170" t="s">
        <v>585</v>
      </c>
      <c r="B309" s="170" t="s">
        <v>589</v>
      </c>
      <c r="C309" s="170" t="s">
        <v>591</v>
      </c>
      <c r="D309" s="170"/>
    </row>
    <row r="310" spans="1:7" s="43" customFormat="1" x14ac:dyDescent="0.25">
      <c r="A310" s="170"/>
      <c r="B310" s="170"/>
      <c r="C310" s="170"/>
      <c r="D310" s="170"/>
      <c r="E310" s="163"/>
      <c r="F310" s="164"/>
      <c r="G310" s="165"/>
    </row>
    <row r="311" spans="1:7" s="43" customFormat="1" x14ac:dyDescent="0.25">
      <c r="A311" s="170"/>
      <c r="B311" s="170"/>
      <c r="C311" s="170"/>
      <c r="D311" s="170"/>
      <c r="E311" s="163"/>
      <c r="F311" s="164"/>
      <c r="G311" s="165"/>
    </row>
    <row r="312" spans="1:7" s="43" customFormat="1" x14ac:dyDescent="0.25">
      <c r="A312" s="170"/>
      <c r="B312" s="170"/>
      <c r="C312" s="170"/>
      <c r="D312" s="170"/>
      <c r="E312" s="163"/>
      <c r="F312" s="164"/>
      <c r="G312" s="165"/>
    </row>
    <row r="313" spans="1:7" s="43" customFormat="1" x14ac:dyDescent="0.25">
      <c r="A313" s="170"/>
      <c r="B313" s="170"/>
      <c r="C313" s="170"/>
      <c r="D313" s="170"/>
      <c r="E313" s="163"/>
      <c r="F313" s="164"/>
      <c r="G313" s="165"/>
    </row>
    <row r="314" spans="1:7" s="43" customFormat="1" x14ac:dyDescent="0.25">
      <c r="A314" s="170"/>
      <c r="B314" s="170"/>
      <c r="C314" s="170"/>
      <c r="D314" s="170"/>
      <c r="E314" s="163"/>
      <c r="F314" s="164"/>
      <c r="G314" s="165"/>
    </row>
    <row r="315" spans="1:7" s="43" customFormat="1" x14ac:dyDescent="0.25">
      <c r="A315" s="170"/>
      <c r="B315" s="170"/>
      <c r="C315" s="170"/>
      <c r="D315" s="170"/>
      <c r="E315" s="169"/>
      <c r="F315" s="167"/>
      <c r="G315" s="168"/>
    </row>
    <row r="316" spans="1:7" s="43" customFormat="1" x14ac:dyDescent="0.25">
      <c r="A316" s="170"/>
      <c r="B316" s="170"/>
      <c r="C316" s="170"/>
      <c r="D316" s="170"/>
      <c r="E316" s="169"/>
      <c r="F316" s="167"/>
      <c r="G316" s="168"/>
    </row>
    <row r="317" spans="1:7" s="43" customFormat="1" x14ac:dyDescent="0.25">
      <c r="A317" s="170"/>
      <c r="B317" s="170"/>
      <c r="C317" s="170"/>
      <c r="D317" s="170"/>
      <c r="E317" s="169"/>
      <c r="F317" s="167"/>
      <c r="G317" s="168"/>
    </row>
    <row r="318" spans="1:7" s="43" customFormat="1" x14ac:dyDescent="0.25">
      <c r="A318" s="170"/>
      <c r="B318" s="170"/>
      <c r="C318" s="170"/>
      <c r="D318" s="170"/>
      <c r="E318" s="169"/>
      <c r="F318" s="167"/>
      <c r="G318" s="168"/>
    </row>
    <row r="319" spans="1:7" s="43" customFormat="1" x14ac:dyDescent="0.25">
      <c r="A319" s="170"/>
      <c r="B319" s="170"/>
      <c r="C319" s="170"/>
      <c r="D319" s="170"/>
      <c r="E319" s="169"/>
      <c r="F319" s="167"/>
      <c r="G319" s="168"/>
    </row>
    <row r="320" spans="1:7" s="43" customFormat="1" x14ac:dyDescent="0.25">
      <c r="A320" s="170"/>
      <c r="B320" s="170"/>
      <c r="C320" s="170"/>
      <c r="D320" s="170"/>
      <c r="E320" s="185"/>
      <c r="F320" s="185"/>
      <c r="G320" s="185"/>
    </row>
    <row r="321" spans="1:7" ht="30" x14ac:dyDescent="0.25">
      <c r="A321" s="170" t="s">
        <v>586</v>
      </c>
      <c r="B321" s="170" t="s">
        <v>590</v>
      </c>
      <c r="C321" s="170" t="s">
        <v>591</v>
      </c>
      <c r="D321" s="170"/>
    </row>
    <row r="322" spans="1:7" s="43" customFormat="1" x14ac:dyDescent="0.25">
      <c r="A322" s="170"/>
      <c r="B322" s="170"/>
      <c r="C322" s="170"/>
      <c r="D322" s="170"/>
      <c r="E322" s="163"/>
      <c r="F322" s="164"/>
      <c r="G322" s="165"/>
    </row>
    <row r="323" spans="1:7" s="43" customFormat="1" x14ac:dyDescent="0.25">
      <c r="A323" s="170"/>
      <c r="B323" s="170"/>
      <c r="C323" s="170"/>
      <c r="D323" s="170"/>
      <c r="E323" s="163"/>
      <c r="F323" s="164"/>
      <c r="G323" s="165"/>
    </row>
    <row r="324" spans="1:7" s="43" customFormat="1" x14ac:dyDescent="0.25">
      <c r="A324" s="170"/>
      <c r="B324" s="170"/>
      <c r="C324" s="170"/>
      <c r="D324" s="170"/>
      <c r="E324" s="163"/>
      <c r="F324" s="164"/>
      <c r="G324" s="165"/>
    </row>
    <row r="325" spans="1:7" s="43" customFormat="1" x14ac:dyDescent="0.25">
      <c r="A325" s="170"/>
      <c r="B325" s="170"/>
      <c r="C325" s="170"/>
      <c r="D325" s="170"/>
      <c r="E325" s="163"/>
      <c r="F325" s="164"/>
      <c r="G325" s="165"/>
    </row>
    <row r="326" spans="1:7" s="43" customFormat="1" x14ac:dyDescent="0.25">
      <c r="A326" s="170"/>
      <c r="B326" s="170"/>
      <c r="C326" s="170"/>
      <c r="D326" s="170"/>
      <c r="E326" s="163"/>
      <c r="F326" s="164"/>
      <c r="G326" s="165"/>
    </row>
    <row r="327" spans="1:7" s="43" customFormat="1" x14ac:dyDescent="0.25">
      <c r="A327" s="170"/>
      <c r="B327" s="170"/>
      <c r="C327" s="170"/>
      <c r="D327" s="170"/>
      <c r="E327" s="169"/>
      <c r="F327" s="167"/>
      <c r="G327" s="168"/>
    </row>
    <row r="328" spans="1:7" s="43" customFormat="1" x14ac:dyDescent="0.25">
      <c r="A328" s="170"/>
      <c r="B328" s="170"/>
      <c r="C328" s="170"/>
      <c r="D328" s="170"/>
      <c r="E328" s="169"/>
      <c r="F328" s="167"/>
      <c r="G328" s="168"/>
    </row>
    <row r="329" spans="1:7" s="43" customFormat="1" x14ac:dyDescent="0.25">
      <c r="A329" s="170"/>
      <c r="B329" s="170"/>
      <c r="C329" s="170"/>
      <c r="D329" s="170"/>
      <c r="E329" s="169"/>
      <c r="F329" s="167"/>
      <c r="G329" s="168"/>
    </row>
    <row r="330" spans="1:7" s="43" customFormat="1" x14ac:dyDescent="0.25">
      <c r="A330" s="170"/>
      <c r="B330" s="170"/>
      <c r="C330" s="170"/>
      <c r="D330" s="170"/>
      <c r="E330" s="169"/>
      <c r="F330" s="167"/>
      <c r="G330" s="168"/>
    </row>
    <row r="331" spans="1:7" s="43" customFormat="1" x14ac:dyDescent="0.25">
      <c r="A331" s="170"/>
      <c r="B331" s="170"/>
      <c r="C331" s="170"/>
      <c r="D331" s="170"/>
      <c r="E331" s="169"/>
      <c r="F331" s="167"/>
      <c r="G331" s="168"/>
    </row>
    <row r="332" spans="1:7" s="43" customFormat="1" x14ac:dyDescent="0.25">
      <c r="A332" s="170"/>
      <c r="B332" s="170"/>
      <c r="C332" s="170"/>
      <c r="D332" s="170"/>
      <c r="E332" s="185"/>
      <c r="F332" s="185"/>
      <c r="G332" s="185"/>
    </row>
    <row r="333" spans="1:7" ht="30" x14ac:dyDescent="0.25">
      <c r="A333" s="170" t="s">
        <v>587</v>
      </c>
      <c r="B333" s="170" t="s">
        <v>594</v>
      </c>
      <c r="C333" s="170" t="s">
        <v>539</v>
      </c>
      <c r="D333" s="170"/>
    </row>
    <row r="334" spans="1:7" s="43" customFormat="1" x14ac:dyDescent="0.25">
      <c r="A334" s="170"/>
      <c r="B334" s="170"/>
      <c r="C334" s="170"/>
      <c r="D334" s="170"/>
      <c r="E334" s="163"/>
      <c r="F334" s="164"/>
      <c r="G334" s="165"/>
    </row>
    <row r="335" spans="1:7" s="43" customFormat="1" x14ac:dyDescent="0.25">
      <c r="A335" s="170"/>
      <c r="B335" s="170"/>
      <c r="C335" s="170"/>
      <c r="D335" s="170"/>
      <c r="E335" s="163"/>
      <c r="F335" s="164"/>
      <c r="G335" s="165"/>
    </row>
    <row r="336" spans="1:7" s="43" customFormat="1" x14ac:dyDescent="0.25">
      <c r="A336" s="170"/>
      <c r="B336" s="170"/>
      <c r="C336" s="170"/>
      <c r="D336" s="170"/>
      <c r="E336" s="163"/>
      <c r="F336" s="164"/>
      <c r="G336" s="165"/>
    </row>
    <row r="337" spans="1:7" s="43" customFormat="1" x14ac:dyDescent="0.25">
      <c r="A337" s="170"/>
      <c r="B337" s="170"/>
      <c r="C337" s="170"/>
      <c r="D337" s="170"/>
      <c r="E337" s="163"/>
      <c r="F337" s="164"/>
      <c r="G337" s="165"/>
    </row>
    <row r="338" spans="1:7" s="43" customFormat="1" x14ac:dyDescent="0.25">
      <c r="A338" s="170"/>
      <c r="B338" s="170"/>
      <c r="C338" s="170"/>
      <c r="D338" s="170"/>
      <c r="E338" s="163"/>
      <c r="F338" s="164"/>
      <c r="G338" s="165"/>
    </row>
    <row r="339" spans="1:7" s="43" customFormat="1" x14ac:dyDescent="0.25">
      <c r="A339" s="170"/>
      <c r="B339" s="170"/>
      <c r="C339" s="170"/>
      <c r="D339" s="170"/>
      <c r="E339" s="169"/>
      <c r="F339" s="167"/>
      <c r="G339" s="168"/>
    </row>
    <row r="340" spans="1:7" s="43" customFormat="1" x14ac:dyDescent="0.25">
      <c r="A340" s="170"/>
      <c r="B340" s="170"/>
      <c r="C340" s="170"/>
      <c r="D340" s="170"/>
      <c r="E340" s="169"/>
      <c r="F340" s="167"/>
      <c r="G340" s="168"/>
    </row>
    <row r="341" spans="1:7" s="43" customFormat="1" x14ac:dyDescent="0.25">
      <c r="A341" s="170"/>
      <c r="B341" s="170"/>
      <c r="C341" s="170"/>
      <c r="D341" s="170"/>
      <c r="E341" s="169"/>
      <c r="F341" s="167"/>
      <c r="G341" s="168"/>
    </row>
    <row r="342" spans="1:7" s="43" customFormat="1" x14ac:dyDescent="0.25">
      <c r="A342" s="170"/>
      <c r="B342" s="170"/>
      <c r="C342" s="170"/>
      <c r="D342" s="170"/>
      <c r="E342" s="169"/>
      <c r="F342" s="167"/>
      <c r="G342" s="168"/>
    </row>
    <row r="343" spans="1:7" s="43" customFormat="1" x14ac:dyDescent="0.25">
      <c r="A343" s="170"/>
      <c r="B343" s="170"/>
      <c r="C343" s="170"/>
      <c r="D343" s="170"/>
      <c r="E343" s="169"/>
      <c r="F343" s="167"/>
      <c r="G343" s="168"/>
    </row>
    <row r="344" spans="1:7" s="43" customFormat="1" x14ac:dyDescent="0.25">
      <c r="A344" s="170"/>
      <c r="B344" s="170"/>
      <c r="C344" s="170"/>
      <c r="D344" s="170"/>
      <c r="E344" s="185"/>
      <c r="F344" s="185"/>
      <c r="G344" s="185"/>
    </row>
    <row r="345" spans="1:7" ht="30" x14ac:dyDescent="0.25">
      <c r="A345" s="170" t="s">
        <v>588</v>
      </c>
      <c r="B345" s="170" t="s">
        <v>595</v>
      </c>
      <c r="C345" s="170" t="s">
        <v>591</v>
      </c>
      <c r="D345" s="170"/>
    </row>
    <row r="346" spans="1:7" s="43" customFormat="1" x14ac:dyDescent="0.25">
      <c r="A346" s="170"/>
      <c r="B346" s="170"/>
      <c r="C346" s="170"/>
      <c r="E346" s="163"/>
      <c r="F346" s="164"/>
      <c r="G346" s="165"/>
    </row>
    <row r="347" spans="1:7" s="43" customFormat="1" x14ac:dyDescent="0.25">
      <c r="A347" s="170"/>
      <c r="B347" s="170"/>
      <c r="C347" s="170"/>
      <c r="E347" s="163"/>
      <c r="F347" s="164"/>
      <c r="G347" s="165"/>
    </row>
    <row r="348" spans="1:7" s="43" customFormat="1" x14ac:dyDescent="0.25">
      <c r="A348" s="170"/>
      <c r="B348" s="170"/>
      <c r="C348" s="170"/>
      <c r="E348" s="163"/>
      <c r="F348" s="164"/>
      <c r="G348" s="165"/>
    </row>
    <row r="349" spans="1:7" s="43" customFormat="1" x14ac:dyDescent="0.25">
      <c r="A349" s="170"/>
      <c r="B349" s="170"/>
      <c r="C349" s="170"/>
      <c r="E349" s="163"/>
      <c r="F349" s="164"/>
      <c r="G349" s="165"/>
    </row>
    <row r="350" spans="1:7" s="43" customFormat="1" x14ac:dyDescent="0.25">
      <c r="A350" s="170"/>
      <c r="B350" s="170"/>
      <c r="C350" s="170"/>
      <c r="E350" s="163"/>
      <c r="F350" s="164"/>
      <c r="G350" s="165"/>
    </row>
    <row r="351" spans="1:7" s="43" customFormat="1" x14ac:dyDescent="0.25">
      <c r="A351" s="170"/>
      <c r="B351" s="170"/>
      <c r="C351" s="170"/>
      <c r="E351" s="169"/>
      <c r="F351" s="167"/>
      <c r="G351" s="168"/>
    </row>
    <row r="352" spans="1:7" s="43" customFormat="1" x14ac:dyDescent="0.25">
      <c r="A352" s="170"/>
      <c r="B352" s="170"/>
      <c r="C352" s="170"/>
      <c r="E352" s="169"/>
      <c r="F352" s="167"/>
      <c r="G352" s="168"/>
    </row>
    <row r="353" spans="1:8" s="43" customFormat="1" x14ac:dyDescent="0.25">
      <c r="A353" s="170"/>
      <c r="B353" s="170"/>
      <c r="C353" s="170"/>
      <c r="E353" s="169"/>
      <c r="F353" s="167"/>
      <c r="G353" s="168"/>
    </row>
    <row r="354" spans="1:8" s="43" customFormat="1" x14ac:dyDescent="0.25">
      <c r="A354" s="170"/>
      <c r="B354" s="170"/>
      <c r="C354" s="170"/>
      <c r="E354" s="169"/>
      <c r="F354" s="167"/>
      <c r="G354" s="168"/>
    </row>
    <row r="355" spans="1:8" s="43" customFormat="1" x14ac:dyDescent="0.25">
      <c r="A355" s="170"/>
      <c r="B355" s="170"/>
      <c r="C355" s="170"/>
      <c r="E355" s="169"/>
      <c r="F355" s="167"/>
      <c r="G355" s="168"/>
    </row>
    <row r="356" spans="1:8" s="43" customFormat="1" x14ac:dyDescent="0.25">
      <c r="A356" s="170"/>
      <c r="B356" s="170"/>
      <c r="C356" s="170"/>
      <c r="D356" s="170"/>
      <c r="E356" s="185"/>
      <c r="F356" s="185"/>
      <c r="G356" s="185"/>
    </row>
    <row r="357" spans="1:8" ht="30" x14ac:dyDescent="0.25">
      <c r="A357" s="170" t="s">
        <v>596</v>
      </c>
      <c r="B357" s="172" t="s">
        <v>821</v>
      </c>
      <c r="C357" s="170" t="s">
        <v>667</v>
      </c>
      <c r="D357" s="170"/>
      <c r="E357" s="188">
        <v>2015</v>
      </c>
      <c r="F357" s="193">
        <v>2016</v>
      </c>
      <c r="G357" s="187">
        <v>2017</v>
      </c>
      <c r="H357" s="176" t="s">
        <v>822</v>
      </c>
    </row>
    <row r="358" spans="1:8" s="43" customFormat="1" x14ac:dyDescent="0.25">
      <c r="A358" s="170"/>
      <c r="B358" s="170"/>
      <c r="C358" s="170"/>
      <c r="D358" s="200" t="s">
        <v>771</v>
      </c>
      <c r="E358" s="207">
        <v>192.881</v>
      </c>
      <c r="F358" s="164">
        <v>206.16399999999999</v>
      </c>
      <c r="G358" s="165">
        <v>212.167</v>
      </c>
    </row>
    <row r="359" spans="1:8" s="43" customFormat="1" x14ac:dyDescent="0.25">
      <c r="A359" s="170"/>
      <c r="B359" s="170"/>
      <c r="C359" s="170"/>
      <c r="D359" s="200" t="s">
        <v>680</v>
      </c>
      <c r="E359" s="207">
        <v>189</v>
      </c>
      <c r="F359" s="164">
        <v>194</v>
      </c>
      <c r="G359" s="165">
        <v>187</v>
      </c>
      <c r="H359" s="43" t="s">
        <v>823</v>
      </c>
    </row>
    <row r="360" spans="1:8" s="43" customFormat="1" x14ac:dyDescent="0.25">
      <c r="A360" s="170"/>
      <c r="B360" s="170"/>
      <c r="C360" s="170"/>
      <c r="D360" s="200" t="s">
        <v>715</v>
      </c>
      <c r="E360" s="207">
        <v>172.27</v>
      </c>
      <c r="F360" s="164">
        <v>179.29</v>
      </c>
      <c r="G360" s="165">
        <v>179.31800000000001</v>
      </c>
    </row>
    <row r="361" spans="1:8" s="43" customFormat="1" x14ac:dyDescent="0.25">
      <c r="A361" s="170"/>
      <c r="B361" s="170"/>
      <c r="C361" s="170"/>
      <c r="D361" s="200" t="s">
        <v>824</v>
      </c>
      <c r="E361" s="208">
        <v>98</v>
      </c>
      <c r="F361" s="164">
        <v>91</v>
      </c>
      <c r="G361" s="165">
        <v>101</v>
      </c>
    </row>
    <row r="362" spans="1:8" s="43" customFormat="1" x14ac:dyDescent="0.25">
      <c r="A362" s="170"/>
      <c r="B362" s="170"/>
      <c r="C362" s="170"/>
      <c r="D362" s="200" t="s">
        <v>825</v>
      </c>
      <c r="E362" s="208">
        <v>83</v>
      </c>
      <c r="F362" s="164">
        <v>87</v>
      </c>
      <c r="G362" s="165">
        <v>86</v>
      </c>
    </row>
    <row r="363" spans="1:8" s="43" customFormat="1" x14ac:dyDescent="0.25">
      <c r="A363" s="170"/>
      <c r="B363" s="170"/>
      <c r="C363" s="170"/>
      <c r="D363" s="201" t="s">
        <v>826</v>
      </c>
      <c r="E363" s="209">
        <v>28</v>
      </c>
      <c r="F363" s="202">
        <v>25</v>
      </c>
      <c r="G363" s="168">
        <v>22</v>
      </c>
    </row>
    <row r="364" spans="1:8" s="43" customFormat="1" x14ac:dyDescent="0.25">
      <c r="A364" s="170"/>
      <c r="B364" s="170"/>
      <c r="C364" s="170"/>
      <c r="D364" s="201" t="s">
        <v>813</v>
      </c>
      <c r="E364" s="210">
        <v>19.811</v>
      </c>
      <c r="F364" s="203">
        <v>18.646999999999998</v>
      </c>
      <c r="G364" s="168">
        <v>19.826000000000001</v>
      </c>
    </row>
    <row r="365" spans="1:8" s="43" customFormat="1" x14ac:dyDescent="0.25">
      <c r="A365" s="170"/>
      <c r="B365" s="170"/>
      <c r="C365" s="170"/>
      <c r="D365" s="201" t="s">
        <v>772</v>
      </c>
      <c r="E365" s="211">
        <v>26.582000000000001</v>
      </c>
      <c r="F365" s="204">
        <v>21.818000000000001</v>
      </c>
      <c r="G365" s="168">
        <v>19.791</v>
      </c>
    </row>
    <row r="366" spans="1:8" s="43" customFormat="1" x14ac:dyDescent="0.25">
      <c r="A366" s="170"/>
      <c r="B366" s="170"/>
      <c r="C366" s="170"/>
      <c r="D366" s="201" t="s">
        <v>689</v>
      </c>
      <c r="E366" s="212">
        <v>8.423</v>
      </c>
      <c r="F366" s="205">
        <v>7.2110000000000003</v>
      </c>
      <c r="G366" s="168">
        <v>7.6669999999999998</v>
      </c>
    </row>
    <row r="367" spans="1:8" s="43" customFormat="1" x14ac:dyDescent="0.25">
      <c r="A367" s="170"/>
      <c r="B367" s="170"/>
      <c r="C367" s="170"/>
      <c r="D367" s="201" t="s">
        <v>827</v>
      </c>
      <c r="E367" s="213">
        <v>9</v>
      </c>
      <c r="F367" s="206">
        <v>-1</v>
      </c>
      <c r="G367" s="168">
        <v>-12</v>
      </c>
    </row>
    <row r="368" spans="1:8" s="43" customFormat="1" x14ac:dyDescent="0.25">
      <c r="A368" s="170"/>
      <c r="B368" s="170"/>
      <c r="C368" s="170"/>
      <c r="D368" s="170"/>
      <c r="E368" s="185"/>
      <c r="F368" s="185"/>
      <c r="G368" s="185"/>
    </row>
    <row r="369" spans="1:8" ht="30" x14ac:dyDescent="0.25">
      <c r="A369" s="170" t="s">
        <v>597</v>
      </c>
      <c r="B369" s="172" t="s">
        <v>820</v>
      </c>
      <c r="C369" s="170" t="s">
        <v>818</v>
      </c>
      <c r="D369" s="170"/>
      <c r="H369" s="176" t="s">
        <v>816</v>
      </c>
    </row>
    <row r="370" spans="1:8" s="191" customFormat="1" x14ac:dyDescent="0.25">
      <c r="A370" s="173"/>
      <c r="B370" s="172"/>
      <c r="C370" s="173"/>
      <c r="D370" s="170" t="s">
        <v>811</v>
      </c>
      <c r="E370" s="163"/>
      <c r="F370" s="164"/>
      <c r="G370" s="165">
        <v>225</v>
      </c>
    </row>
    <row r="371" spans="1:8" s="191" customFormat="1" x14ac:dyDescent="0.25">
      <c r="A371" s="173"/>
      <c r="B371" s="172"/>
      <c r="C371" s="173"/>
      <c r="D371" s="170" t="s">
        <v>699</v>
      </c>
      <c r="E371" s="163"/>
      <c r="F371" s="164"/>
      <c r="G371" s="165">
        <v>148</v>
      </c>
      <c r="H371" s="191" t="s">
        <v>817</v>
      </c>
    </row>
    <row r="372" spans="1:8" s="191" customFormat="1" x14ac:dyDescent="0.25">
      <c r="A372" s="173"/>
      <c r="B372" s="172"/>
      <c r="C372" s="173"/>
      <c r="D372" s="170" t="s">
        <v>812</v>
      </c>
      <c r="E372" s="163"/>
      <c r="F372" s="164"/>
      <c r="G372" s="165">
        <v>101</v>
      </c>
    </row>
    <row r="373" spans="1:8" s="191" customFormat="1" x14ac:dyDescent="0.25">
      <c r="A373" s="173"/>
      <c r="B373" s="172"/>
      <c r="C373" s="173"/>
      <c r="D373" s="170" t="s">
        <v>702</v>
      </c>
      <c r="E373" s="163"/>
      <c r="F373" s="164"/>
      <c r="G373" s="165">
        <v>98</v>
      </c>
    </row>
    <row r="374" spans="1:8" s="191" customFormat="1" x14ac:dyDescent="0.25">
      <c r="A374" s="173"/>
      <c r="B374" s="172"/>
      <c r="C374" s="173"/>
      <c r="D374" s="170" t="s">
        <v>813</v>
      </c>
      <c r="E374" s="163"/>
      <c r="F374" s="164"/>
      <c r="G374" s="165">
        <v>85</v>
      </c>
    </row>
    <row r="375" spans="1:8" s="191" customFormat="1" x14ac:dyDescent="0.25">
      <c r="A375" s="173"/>
      <c r="B375" s="172"/>
      <c r="C375" s="173"/>
      <c r="D375" s="170" t="s">
        <v>815</v>
      </c>
      <c r="E375" s="169"/>
      <c r="F375" s="167"/>
      <c r="G375" s="168">
        <v>40</v>
      </c>
    </row>
    <row r="376" spans="1:8" s="191" customFormat="1" x14ac:dyDescent="0.25">
      <c r="A376" s="173"/>
      <c r="B376" s="172"/>
      <c r="C376" s="173"/>
      <c r="D376" s="170" t="s">
        <v>683</v>
      </c>
      <c r="E376" s="169"/>
      <c r="F376" s="167"/>
      <c r="G376" s="168">
        <v>39</v>
      </c>
    </row>
    <row r="377" spans="1:8" s="191" customFormat="1" x14ac:dyDescent="0.25">
      <c r="A377" s="173"/>
      <c r="B377" s="172"/>
      <c r="C377" s="173"/>
      <c r="D377" s="170" t="s">
        <v>814</v>
      </c>
      <c r="E377" s="169"/>
      <c r="F377" s="167"/>
      <c r="G377" s="168">
        <v>39</v>
      </c>
    </row>
    <row r="378" spans="1:8" s="191" customFormat="1" x14ac:dyDescent="0.25">
      <c r="A378" s="173"/>
      <c r="B378" s="172"/>
      <c r="C378" s="173"/>
      <c r="D378" s="170" t="s">
        <v>715</v>
      </c>
      <c r="E378" s="169"/>
      <c r="F378" s="167"/>
      <c r="G378" s="168">
        <v>38</v>
      </c>
    </row>
    <row r="379" spans="1:8" s="191" customFormat="1" x14ac:dyDescent="0.25">
      <c r="A379" s="173"/>
      <c r="B379" s="172"/>
      <c r="C379" s="173"/>
      <c r="D379" s="170" t="s">
        <v>676</v>
      </c>
      <c r="E379" s="169"/>
      <c r="F379" s="167"/>
      <c r="G379" s="168">
        <v>38</v>
      </c>
    </row>
    <row r="380" spans="1:8" s="191" customFormat="1" x14ac:dyDescent="0.25">
      <c r="A380" s="173"/>
      <c r="B380" s="172"/>
      <c r="C380" s="173"/>
      <c r="D380" s="173"/>
      <c r="E380" s="171">
        <v>2015</v>
      </c>
      <c r="F380" s="171">
        <v>2016</v>
      </c>
      <c r="G380" s="171">
        <v>2017</v>
      </c>
    </row>
    <row r="381" spans="1:8" ht="30" x14ac:dyDescent="0.25">
      <c r="A381" s="170" t="s">
        <v>598</v>
      </c>
      <c r="B381" s="172" t="s">
        <v>829</v>
      </c>
      <c r="C381" s="170" t="s">
        <v>819</v>
      </c>
      <c r="D381" s="173"/>
      <c r="E381" s="193">
        <v>106330.2</v>
      </c>
      <c r="F381" s="193">
        <v>108375.6</v>
      </c>
      <c r="G381" s="193">
        <v>107659.5</v>
      </c>
      <c r="H381" s="176" t="s">
        <v>846</v>
      </c>
    </row>
    <row r="382" spans="1:8" s="43" customFormat="1" x14ac:dyDescent="0.25">
      <c r="A382" s="170"/>
      <c r="B382" s="170"/>
      <c r="C382" s="170"/>
      <c r="D382" s="186" t="s">
        <v>777</v>
      </c>
      <c r="E382" s="163">
        <v>29306</v>
      </c>
      <c r="F382" s="164">
        <v>26522.6</v>
      </c>
      <c r="G382" s="165">
        <v>24580.9</v>
      </c>
    </row>
    <row r="383" spans="1:8" s="43" customFormat="1" x14ac:dyDescent="0.25">
      <c r="A383" s="170"/>
      <c r="B383" s="170"/>
      <c r="C383" s="170"/>
      <c r="D383" s="186" t="s">
        <v>691</v>
      </c>
      <c r="E383" s="163">
        <v>17372.3</v>
      </c>
      <c r="F383" s="164">
        <v>16735.400000000001</v>
      </c>
      <c r="G383" s="165">
        <v>16958.400000000001</v>
      </c>
    </row>
    <row r="384" spans="1:8" s="43" customFormat="1" x14ac:dyDescent="0.25">
      <c r="A384" s="170"/>
      <c r="B384" s="170"/>
      <c r="C384" s="170"/>
      <c r="D384" s="186" t="s">
        <v>805</v>
      </c>
      <c r="E384" s="163">
        <v>12161.9</v>
      </c>
      <c r="F384" s="164">
        <v>12812.9</v>
      </c>
      <c r="G384" s="165">
        <v>12897.9</v>
      </c>
    </row>
    <row r="385" spans="1:7" s="43" customFormat="1" x14ac:dyDescent="0.25">
      <c r="A385" s="170"/>
      <c r="B385" s="170"/>
      <c r="C385" s="170"/>
      <c r="D385" s="186" t="s">
        <v>778</v>
      </c>
      <c r="E385" s="163">
        <v>3532.7</v>
      </c>
      <c r="F385" s="164">
        <v>4366</v>
      </c>
      <c r="G385" s="165">
        <v>4377</v>
      </c>
    </row>
    <row r="386" spans="1:7" s="43" customFormat="1" x14ac:dyDescent="0.25">
      <c r="A386" s="170"/>
      <c r="B386" s="170"/>
      <c r="C386" s="170"/>
      <c r="D386" s="186" t="s">
        <v>775</v>
      </c>
      <c r="E386" s="163">
        <v>2860</v>
      </c>
      <c r="F386" s="164">
        <v>3231.9</v>
      </c>
      <c r="G386" s="165">
        <v>3473</v>
      </c>
    </row>
    <row r="387" spans="1:7" s="43" customFormat="1" x14ac:dyDescent="0.25">
      <c r="A387" s="170"/>
      <c r="B387" s="170"/>
      <c r="C387" s="170"/>
      <c r="D387" s="196" t="s">
        <v>810</v>
      </c>
      <c r="E387" s="169">
        <v>5.6</v>
      </c>
      <c r="F387" s="167">
        <v>6.6</v>
      </c>
      <c r="G387" s="168">
        <v>6.7</v>
      </c>
    </row>
    <row r="388" spans="1:7" s="43" customFormat="1" x14ac:dyDescent="0.25">
      <c r="A388" s="170"/>
      <c r="B388" s="170"/>
      <c r="C388" s="170"/>
      <c r="D388" s="196" t="s">
        <v>806</v>
      </c>
      <c r="E388" s="169">
        <v>9.6999999999999993</v>
      </c>
      <c r="F388" s="167">
        <v>5.3</v>
      </c>
      <c r="G388" s="168">
        <v>7.1</v>
      </c>
    </row>
    <row r="389" spans="1:7" s="43" customFormat="1" x14ac:dyDescent="0.25">
      <c r="A389" s="170"/>
      <c r="B389" s="170"/>
      <c r="C389" s="170"/>
      <c r="D389" s="196" t="s">
        <v>689</v>
      </c>
      <c r="E389" s="169">
        <v>8.4</v>
      </c>
      <c r="F389" s="167">
        <v>7.3</v>
      </c>
      <c r="G389" s="168">
        <v>7.2</v>
      </c>
    </row>
    <row r="390" spans="1:7" s="43" customFormat="1" x14ac:dyDescent="0.25">
      <c r="A390" s="170"/>
      <c r="B390" s="170"/>
      <c r="C390" s="170"/>
      <c r="D390" s="196" t="s">
        <v>807</v>
      </c>
      <c r="E390" s="169"/>
      <c r="F390" s="167">
        <v>10</v>
      </c>
      <c r="G390" s="168">
        <v>13.5</v>
      </c>
    </row>
    <row r="391" spans="1:7" s="43" customFormat="1" x14ac:dyDescent="0.25">
      <c r="A391" s="170"/>
      <c r="B391" s="170"/>
      <c r="C391" s="170"/>
      <c r="D391" s="196" t="s">
        <v>809</v>
      </c>
      <c r="E391" s="169">
        <v>19.100000000000001</v>
      </c>
      <c r="F391" s="167">
        <v>19.100000000000001</v>
      </c>
      <c r="G391" s="168">
        <v>20.8</v>
      </c>
    </row>
    <row r="392" spans="1:7" s="43" customFormat="1" x14ac:dyDescent="0.25">
      <c r="A392" s="170"/>
      <c r="B392" s="170"/>
      <c r="C392" s="170"/>
      <c r="D392" s="170"/>
      <c r="E392" s="185"/>
      <c r="F392" s="185"/>
      <c r="G392" s="185"/>
    </row>
    <row r="393" spans="1:7" ht="30" x14ac:dyDescent="0.25">
      <c r="A393" s="170" t="s">
        <v>599</v>
      </c>
      <c r="B393" s="172" t="s">
        <v>602</v>
      </c>
      <c r="C393" s="170" t="s">
        <v>603</v>
      </c>
      <c r="D393" s="170"/>
    </row>
    <row r="394" spans="1:7" s="43" customFormat="1" x14ac:dyDescent="0.25">
      <c r="A394" s="170"/>
      <c r="B394" s="170"/>
      <c r="C394" s="170"/>
      <c r="D394" s="170"/>
      <c r="E394" s="163"/>
      <c r="F394" s="164"/>
      <c r="G394" s="165"/>
    </row>
    <row r="395" spans="1:7" s="43" customFormat="1" x14ac:dyDescent="0.25">
      <c r="A395" s="170"/>
      <c r="B395" s="170"/>
      <c r="C395" s="170"/>
      <c r="D395" s="170"/>
      <c r="E395" s="163"/>
      <c r="F395" s="164"/>
      <c r="G395" s="165"/>
    </row>
    <row r="396" spans="1:7" s="43" customFormat="1" x14ac:dyDescent="0.25">
      <c r="A396" s="170"/>
      <c r="B396" s="170"/>
      <c r="C396" s="170"/>
      <c r="D396" s="170"/>
      <c r="E396" s="163"/>
      <c r="F396" s="164"/>
      <c r="G396" s="165"/>
    </row>
    <row r="397" spans="1:7" s="43" customFormat="1" x14ac:dyDescent="0.25">
      <c r="A397" s="170"/>
      <c r="B397" s="170"/>
      <c r="C397" s="170"/>
      <c r="D397" s="170"/>
      <c r="E397" s="163"/>
      <c r="F397" s="164"/>
      <c r="G397" s="165"/>
    </row>
    <row r="398" spans="1:7" s="43" customFormat="1" x14ac:dyDescent="0.25">
      <c r="A398" s="170"/>
      <c r="B398" s="170"/>
      <c r="C398" s="170"/>
      <c r="D398" s="170"/>
      <c r="E398" s="163"/>
      <c r="F398" s="164"/>
      <c r="G398" s="165"/>
    </row>
    <row r="399" spans="1:7" s="43" customFormat="1" x14ac:dyDescent="0.25">
      <c r="A399" s="170"/>
      <c r="B399" s="170"/>
      <c r="C399" s="170"/>
      <c r="D399" s="170"/>
      <c r="E399" s="169"/>
      <c r="F399" s="167"/>
      <c r="G399" s="168"/>
    </row>
    <row r="400" spans="1:7" s="43" customFormat="1" x14ac:dyDescent="0.25">
      <c r="A400" s="170"/>
      <c r="B400" s="170"/>
      <c r="C400" s="170"/>
      <c r="D400" s="170"/>
      <c r="E400" s="169"/>
      <c r="F400" s="167"/>
      <c r="G400" s="168"/>
    </row>
    <row r="401" spans="1:7" s="43" customFormat="1" x14ac:dyDescent="0.25">
      <c r="A401" s="170"/>
      <c r="B401" s="170"/>
      <c r="C401" s="170"/>
      <c r="D401" s="170"/>
      <c r="E401" s="169"/>
      <c r="F401" s="167"/>
      <c r="G401" s="168"/>
    </row>
    <row r="402" spans="1:7" s="43" customFormat="1" x14ac:dyDescent="0.25">
      <c r="A402" s="170"/>
      <c r="B402" s="170"/>
      <c r="C402" s="170"/>
      <c r="D402" s="170"/>
      <c r="E402" s="169"/>
      <c r="F402" s="167"/>
      <c r="G402" s="168"/>
    </row>
    <row r="403" spans="1:7" s="43" customFormat="1" x14ac:dyDescent="0.25">
      <c r="A403" s="170"/>
      <c r="B403" s="170"/>
      <c r="C403" s="170"/>
      <c r="D403" s="170"/>
      <c r="E403" s="169"/>
      <c r="F403" s="167"/>
      <c r="G403" s="168"/>
    </row>
    <row r="404" spans="1:7" s="43" customFormat="1" x14ac:dyDescent="0.25">
      <c r="A404" s="170"/>
      <c r="B404" s="170"/>
      <c r="C404" s="170"/>
      <c r="D404" s="170"/>
      <c r="E404" s="185"/>
      <c r="F404" s="185"/>
      <c r="G404" s="185"/>
    </row>
    <row r="405" spans="1:7" x14ac:dyDescent="0.25">
      <c r="A405" s="170" t="s">
        <v>600</v>
      </c>
      <c r="B405" s="172" t="s">
        <v>604</v>
      </c>
      <c r="C405" s="170" t="s">
        <v>472</v>
      </c>
      <c r="D405" s="170"/>
    </row>
    <row r="406" spans="1:7" s="43" customFormat="1" x14ac:dyDescent="0.25">
      <c r="A406" s="170"/>
      <c r="B406" s="170"/>
      <c r="C406" s="170"/>
      <c r="D406" s="170"/>
      <c r="E406" s="163"/>
      <c r="F406" s="164"/>
      <c r="G406" s="165"/>
    </row>
    <row r="407" spans="1:7" s="43" customFormat="1" x14ac:dyDescent="0.25">
      <c r="A407" s="170"/>
      <c r="B407" s="170"/>
      <c r="C407" s="170"/>
      <c r="D407" s="170"/>
      <c r="E407" s="163"/>
      <c r="F407" s="164"/>
      <c r="G407" s="165"/>
    </row>
    <row r="408" spans="1:7" s="43" customFormat="1" x14ac:dyDescent="0.25">
      <c r="A408" s="170"/>
      <c r="B408" s="170"/>
      <c r="C408" s="170"/>
      <c r="D408" s="170"/>
      <c r="E408" s="163"/>
      <c r="F408" s="164"/>
      <c r="G408" s="165"/>
    </row>
    <row r="409" spans="1:7" s="43" customFormat="1" x14ac:dyDescent="0.25">
      <c r="A409" s="170"/>
      <c r="B409" s="170"/>
      <c r="C409" s="170"/>
      <c r="D409" s="170"/>
      <c r="E409" s="163"/>
      <c r="F409" s="164"/>
      <c r="G409" s="165"/>
    </row>
    <row r="410" spans="1:7" s="43" customFormat="1" x14ac:dyDescent="0.25">
      <c r="A410" s="170"/>
      <c r="B410" s="170"/>
      <c r="C410" s="170"/>
      <c r="D410" s="170"/>
      <c r="E410" s="163"/>
      <c r="F410" s="164"/>
      <c r="G410" s="165"/>
    </row>
    <row r="411" spans="1:7" s="43" customFormat="1" x14ac:dyDescent="0.25">
      <c r="A411" s="170"/>
      <c r="B411" s="170"/>
      <c r="C411" s="170"/>
      <c r="D411" s="170"/>
      <c r="E411" s="169"/>
      <c r="F411" s="167"/>
      <c r="G411" s="168"/>
    </row>
    <row r="412" spans="1:7" s="43" customFormat="1" x14ac:dyDescent="0.25">
      <c r="A412" s="170"/>
      <c r="B412" s="170"/>
      <c r="C412" s="170"/>
      <c r="D412" s="170"/>
      <c r="E412" s="169"/>
      <c r="F412" s="167"/>
      <c r="G412" s="168"/>
    </row>
    <row r="413" spans="1:7" s="43" customFormat="1" x14ac:dyDescent="0.25">
      <c r="A413" s="170"/>
      <c r="B413" s="170"/>
      <c r="C413" s="170"/>
      <c r="D413" s="170"/>
      <c r="E413" s="169"/>
      <c r="F413" s="167"/>
      <c r="G413" s="168"/>
    </row>
    <row r="414" spans="1:7" s="43" customFormat="1" x14ac:dyDescent="0.25">
      <c r="A414" s="170"/>
      <c r="B414" s="170"/>
      <c r="C414" s="170"/>
      <c r="D414" s="170"/>
      <c r="E414" s="169"/>
      <c r="F414" s="167"/>
      <c r="G414" s="168"/>
    </row>
    <row r="415" spans="1:7" s="43" customFormat="1" x14ac:dyDescent="0.25">
      <c r="A415" s="170"/>
      <c r="B415" s="170"/>
      <c r="C415" s="170"/>
      <c r="D415" s="170"/>
      <c r="E415" s="169"/>
      <c r="F415" s="167"/>
      <c r="G415" s="168"/>
    </row>
    <row r="416" spans="1:7" s="43" customFormat="1" x14ac:dyDescent="0.25">
      <c r="A416" s="170"/>
      <c r="B416" s="170"/>
      <c r="C416" s="170"/>
      <c r="D416" s="170"/>
      <c r="E416" s="185">
        <v>2015</v>
      </c>
      <c r="F416" s="185">
        <v>2016</v>
      </c>
      <c r="G416" s="185">
        <v>2017</v>
      </c>
    </row>
    <row r="417" spans="1:7" ht="30" x14ac:dyDescent="0.25">
      <c r="A417" s="170" t="s">
        <v>601</v>
      </c>
      <c r="B417" s="172" t="s">
        <v>828</v>
      </c>
      <c r="C417" s="170" t="s">
        <v>819</v>
      </c>
      <c r="D417" s="170"/>
      <c r="E417" s="195">
        <v>45954.6</v>
      </c>
      <c r="F417" s="190">
        <v>45982.6</v>
      </c>
      <c r="G417" s="194">
        <v>47222.7</v>
      </c>
    </row>
    <row r="418" spans="1:7" s="43" customFormat="1" x14ac:dyDescent="0.25">
      <c r="A418" s="170"/>
      <c r="B418" s="170"/>
      <c r="C418" s="170"/>
      <c r="D418" s="173" t="s">
        <v>777</v>
      </c>
      <c r="E418" s="163">
        <v>13972.6</v>
      </c>
      <c r="F418" s="164">
        <v>12681.8</v>
      </c>
      <c r="G418" s="165">
        <v>12100.2</v>
      </c>
    </row>
    <row r="419" spans="1:7" s="43" customFormat="1" x14ac:dyDescent="0.25">
      <c r="A419" s="170"/>
      <c r="B419" s="170"/>
      <c r="C419" s="170"/>
      <c r="D419" s="173" t="s">
        <v>691</v>
      </c>
      <c r="E419" s="163">
        <v>6978.8</v>
      </c>
      <c r="F419" s="164">
        <v>6705.4</v>
      </c>
      <c r="G419" s="165">
        <v>6854.4</v>
      </c>
    </row>
    <row r="420" spans="1:7" s="43" customFormat="1" x14ac:dyDescent="0.25">
      <c r="A420" s="170"/>
      <c r="B420" s="170"/>
      <c r="C420" s="170"/>
      <c r="D420" s="173" t="s">
        <v>778</v>
      </c>
      <c r="E420" s="163">
        <v>4401</v>
      </c>
      <c r="F420" s="164">
        <v>4974</v>
      </c>
      <c r="G420" s="165">
        <v>5125.5</v>
      </c>
    </row>
    <row r="421" spans="1:7" s="43" customFormat="1" x14ac:dyDescent="0.25">
      <c r="A421" s="170"/>
      <c r="B421" s="170"/>
      <c r="C421" s="170"/>
      <c r="D421" s="173" t="s">
        <v>805</v>
      </c>
      <c r="E421" s="163">
        <v>4302.3999999999996</v>
      </c>
      <c r="F421" s="164">
        <v>4487.8999999999996</v>
      </c>
      <c r="G421" s="165">
        <v>5050.6000000000004</v>
      </c>
    </row>
    <row r="422" spans="1:7" s="43" customFormat="1" x14ac:dyDescent="0.25">
      <c r="A422" s="170"/>
      <c r="B422" s="170"/>
      <c r="C422" s="170"/>
      <c r="D422" s="173" t="s">
        <v>775</v>
      </c>
      <c r="E422" s="163">
        <v>1241.0999999999999</v>
      </c>
      <c r="F422" s="164">
        <v>1190.8</v>
      </c>
      <c r="G422" s="165">
        <v>1398.6</v>
      </c>
    </row>
    <row r="423" spans="1:7" s="43" customFormat="1" x14ac:dyDescent="0.25">
      <c r="A423" s="170"/>
      <c r="B423" s="170"/>
      <c r="C423" s="170"/>
      <c r="D423" s="173" t="s">
        <v>806</v>
      </c>
      <c r="E423" s="169">
        <v>6</v>
      </c>
      <c r="F423" s="167">
        <v>6.1</v>
      </c>
      <c r="G423" s="168">
        <v>5.8</v>
      </c>
    </row>
    <row r="424" spans="1:7" s="43" customFormat="1" x14ac:dyDescent="0.25">
      <c r="A424" s="170"/>
      <c r="B424" s="170"/>
      <c r="C424" s="170"/>
      <c r="D424" s="173" t="s">
        <v>807</v>
      </c>
      <c r="E424" s="169">
        <v>0.6</v>
      </c>
      <c r="F424" s="167">
        <v>3.5</v>
      </c>
      <c r="G424" s="168">
        <v>6.2</v>
      </c>
    </row>
    <row r="425" spans="1:7" s="43" customFormat="1" x14ac:dyDescent="0.25">
      <c r="A425" s="170"/>
      <c r="B425" s="170"/>
      <c r="C425" s="170"/>
      <c r="D425" s="173" t="s">
        <v>808</v>
      </c>
      <c r="E425" s="169">
        <v>9.6999999999999993</v>
      </c>
      <c r="F425" s="167">
        <v>6</v>
      </c>
      <c r="G425" s="168">
        <v>6.3</v>
      </c>
    </row>
    <row r="426" spans="1:7" s="43" customFormat="1" x14ac:dyDescent="0.25">
      <c r="A426" s="170"/>
      <c r="B426" s="170"/>
      <c r="C426" s="170"/>
      <c r="D426" s="173" t="s">
        <v>689</v>
      </c>
      <c r="E426" s="169">
        <v>6.4</v>
      </c>
      <c r="F426" s="167">
        <v>7.4</v>
      </c>
      <c r="G426" s="168">
        <v>7.7</v>
      </c>
    </row>
    <row r="427" spans="1:7" s="43" customFormat="1" x14ac:dyDescent="0.25">
      <c r="A427" s="170"/>
      <c r="B427" s="170"/>
      <c r="C427" s="170"/>
      <c r="D427" s="173" t="s">
        <v>680</v>
      </c>
      <c r="E427" s="169">
        <v>15</v>
      </c>
      <c r="F427" s="167">
        <v>17.600000000000001</v>
      </c>
      <c r="G427" s="168">
        <v>12.5</v>
      </c>
    </row>
    <row r="428" spans="1:7" s="213" customFormat="1" x14ac:dyDescent="0.25">
      <c r="A428" s="173"/>
      <c r="B428" s="173"/>
      <c r="C428" s="173"/>
      <c r="D428" s="173"/>
      <c r="E428" s="173">
        <v>2015</v>
      </c>
      <c r="F428" s="173">
        <v>2016</v>
      </c>
      <c r="G428" s="173">
        <v>2017</v>
      </c>
    </row>
    <row r="429" spans="1:7" s="213" customFormat="1" ht="30" x14ac:dyDescent="0.25">
      <c r="A429" s="173" t="s">
        <v>831</v>
      </c>
      <c r="B429" s="173" t="s">
        <v>830</v>
      </c>
      <c r="C429" s="173" t="s">
        <v>667</v>
      </c>
      <c r="D429" s="173"/>
      <c r="E429" s="173"/>
      <c r="F429" s="173"/>
      <c r="G429" s="173"/>
    </row>
    <row r="430" spans="1:7" s="213" customFormat="1" x14ac:dyDescent="0.25">
      <c r="A430" s="173"/>
      <c r="B430" s="173"/>
      <c r="C430" s="173"/>
      <c r="D430" s="214" t="s">
        <v>715</v>
      </c>
      <c r="E430" s="227">
        <v>58.088999999999999</v>
      </c>
      <c r="F430" s="218">
        <v>56.792999999999999</v>
      </c>
      <c r="G430" s="216">
        <v>57.323999999999998</v>
      </c>
    </row>
    <row r="431" spans="1:7" s="213" customFormat="1" x14ac:dyDescent="0.25">
      <c r="A431" s="173"/>
      <c r="B431" s="173"/>
      <c r="C431" s="173"/>
      <c r="D431" s="214" t="s">
        <v>771</v>
      </c>
      <c r="E431" s="227">
        <v>41.774000000000001</v>
      </c>
      <c r="F431" s="218">
        <v>46.052999999999997</v>
      </c>
      <c r="G431" s="216">
        <v>45.892000000000003</v>
      </c>
    </row>
    <row r="432" spans="1:7" s="213" customFormat="1" x14ac:dyDescent="0.25">
      <c r="A432" s="173"/>
      <c r="B432" s="173"/>
      <c r="C432" s="173"/>
      <c r="D432" s="214" t="s">
        <v>682</v>
      </c>
      <c r="E432" s="228">
        <v>8.4740000000000002</v>
      </c>
      <c r="F432" s="219">
        <v>7.7779999999999996</v>
      </c>
      <c r="G432" s="216">
        <v>9.1319999999999997</v>
      </c>
    </row>
    <row r="433" spans="1:7" s="213" customFormat="1" x14ac:dyDescent="0.25">
      <c r="A433" s="173"/>
      <c r="B433" s="173"/>
      <c r="C433" s="173"/>
      <c r="D433" s="214" t="s">
        <v>832</v>
      </c>
      <c r="E433" s="229">
        <v>6.2329999999999997</v>
      </c>
      <c r="F433" s="220">
        <v>8.7780000000000005</v>
      </c>
      <c r="G433" s="216">
        <v>9.0090000000000003</v>
      </c>
    </row>
    <row r="434" spans="1:7" s="213" customFormat="1" x14ac:dyDescent="0.25">
      <c r="A434" s="173"/>
      <c r="B434" s="173"/>
      <c r="C434" s="173"/>
      <c r="D434" s="214" t="s">
        <v>669</v>
      </c>
      <c r="E434" s="230">
        <v>4</v>
      </c>
      <c r="F434" s="221">
        <v>4</v>
      </c>
      <c r="G434" s="216">
        <v>6</v>
      </c>
    </row>
    <row r="435" spans="1:7" s="213" customFormat="1" x14ac:dyDescent="0.25">
      <c r="A435" s="173"/>
      <c r="B435" s="173"/>
      <c r="C435" s="173"/>
      <c r="D435" s="215" t="s">
        <v>772</v>
      </c>
      <c r="E435" s="231">
        <v>0.192</v>
      </c>
      <c r="F435" s="226">
        <v>-0.19700000000000001</v>
      </c>
      <c r="G435" s="217">
        <v>-0.57399999999999995</v>
      </c>
    </row>
    <row r="436" spans="1:7" s="213" customFormat="1" x14ac:dyDescent="0.25">
      <c r="A436" s="173"/>
      <c r="B436" s="173"/>
      <c r="C436" s="173"/>
      <c r="D436" s="215" t="s">
        <v>824</v>
      </c>
      <c r="E436" s="232">
        <v>-1</v>
      </c>
      <c r="F436" s="225">
        <v>-4</v>
      </c>
      <c r="G436" s="217">
        <v>-1</v>
      </c>
    </row>
    <row r="437" spans="1:7" s="213" customFormat="1" x14ac:dyDescent="0.25">
      <c r="A437" s="173"/>
      <c r="B437" s="173"/>
      <c r="C437" s="173"/>
      <c r="D437" s="215" t="s">
        <v>720</v>
      </c>
      <c r="E437" s="233">
        <v>-2</v>
      </c>
      <c r="F437" s="224">
        <v>-3</v>
      </c>
      <c r="G437" s="217">
        <v>-5</v>
      </c>
    </row>
    <row r="438" spans="1:7" s="213" customFormat="1" x14ac:dyDescent="0.25">
      <c r="A438" s="173"/>
      <c r="B438" s="173"/>
      <c r="C438" s="173"/>
      <c r="D438" s="215" t="s">
        <v>827</v>
      </c>
      <c r="E438" s="234">
        <v>-1</v>
      </c>
      <c r="F438" s="223">
        <v>-3</v>
      </c>
      <c r="G438" s="217">
        <v>-5</v>
      </c>
    </row>
    <row r="439" spans="1:7" s="213" customFormat="1" x14ac:dyDescent="0.25">
      <c r="A439" s="173"/>
      <c r="B439" s="173"/>
      <c r="C439" s="173"/>
      <c r="D439" s="215" t="s">
        <v>833</v>
      </c>
      <c r="E439" s="235">
        <v>-5</v>
      </c>
      <c r="F439" s="222">
        <v>-7</v>
      </c>
      <c r="G439" s="217">
        <v>-6</v>
      </c>
    </row>
    <row r="440" spans="1:7" s="213" customFormat="1" x14ac:dyDescent="0.25">
      <c r="A440" s="173"/>
      <c r="B440" s="173"/>
      <c r="C440" s="173"/>
      <c r="D440" s="173"/>
      <c r="E440" s="173"/>
      <c r="F440" s="173"/>
      <c r="G440" s="173"/>
    </row>
    <row r="441" spans="1:7" s="43" customFormat="1" x14ac:dyDescent="0.25">
      <c r="A441" s="170"/>
      <c r="B441" s="170"/>
      <c r="C441" s="170"/>
      <c r="D441" s="170"/>
      <c r="E441" s="185"/>
      <c r="F441" s="185"/>
      <c r="G441" s="185"/>
    </row>
    <row r="442" spans="1:7" ht="30" x14ac:dyDescent="0.25">
      <c r="A442" s="170" t="s">
        <v>607</v>
      </c>
      <c r="B442" s="170" t="s">
        <v>491</v>
      </c>
      <c r="C442" s="170" t="s">
        <v>473</v>
      </c>
      <c r="D442" s="170"/>
    </row>
    <row r="443" spans="1:7" s="43" customFormat="1" x14ac:dyDescent="0.25">
      <c r="A443" s="170"/>
      <c r="B443" s="170"/>
      <c r="C443" s="170"/>
      <c r="D443" s="170"/>
      <c r="E443" s="163"/>
      <c r="F443" s="164"/>
      <c r="G443" s="165"/>
    </row>
    <row r="444" spans="1:7" s="43" customFormat="1" x14ac:dyDescent="0.25">
      <c r="A444" s="170"/>
      <c r="B444" s="170"/>
      <c r="C444" s="170"/>
      <c r="D444" s="170"/>
      <c r="E444" s="163"/>
      <c r="F444" s="164"/>
      <c r="G444" s="165"/>
    </row>
    <row r="445" spans="1:7" s="43" customFormat="1" x14ac:dyDescent="0.25">
      <c r="A445" s="170"/>
      <c r="B445" s="170"/>
      <c r="C445" s="170"/>
      <c r="D445" s="170"/>
      <c r="E445" s="163"/>
      <c r="F445" s="164"/>
      <c r="G445" s="165"/>
    </row>
    <row r="446" spans="1:7" s="43" customFormat="1" x14ac:dyDescent="0.25">
      <c r="A446" s="170"/>
      <c r="B446" s="170"/>
      <c r="C446" s="170"/>
      <c r="D446" s="170"/>
      <c r="E446" s="163"/>
      <c r="F446" s="164"/>
      <c r="G446" s="165"/>
    </row>
    <row r="447" spans="1:7" s="43" customFormat="1" x14ac:dyDescent="0.25">
      <c r="A447" s="170"/>
      <c r="B447" s="170"/>
      <c r="C447" s="170"/>
      <c r="D447" s="170"/>
      <c r="E447" s="163"/>
      <c r="F447" s="164"/>
      <c r="G447" s="165"/>
    </row>
    <row r="448" spans="1:7" s="43" customFormat="1" x14ac:dyDescent="0.25">
      <c r="A448" s="170"/>
      <c r="B448" s="170"/>
      <c r="C448" s="170"/>
      <c r="D448" s="170"/>
      <c r="E448" s="169"/>
      <c r="F448" s="167"/>
      <c r="G448" s="168"/>
    </row>
    <row r="449" spans="1:11" s="43" customFormat="1" x14ac:dyDescent="0.25">
      <c r="A449" s="170"/>
      <c r="B449" s="170"/>
      <c r="C449" s="170"/>
      <c r="D449" s="170"/>
      <c r="E449" s="169"/>
      <c r="F449" s="167"/>
      <c r="G449" s="168"/>
    </row>
    <row r="450" spans="1:11" s="43" customFormat="1" x14ac:dyDescent="0.25">
      <c r="A450" s="170"/>
      <c r="B450" s="170"/>
      <c r="C450" s="170"/>
      <c r="D450" s="170"/>
      <c r="E450" s="169"/>
      <c r="F450" s="167"/>
      <c r="G450" s="168"/>
    </row>
    <row r="451" spans="1:11" s="43" customFormat="1" x14ac:dyDescent="0.25">
      <c r="A451" s="170"/>
      <c r="B451" s="170"/>
      <c r="C451" s="170"/>
      <c r="D451" s="170"/>
      <c r="E451" s="169"/>
      <c r="F451" s="167"/>
      <c r="G451" s="168"/>
    </row>
    <row r="452" spans="1:11" s="43" customFormat="1" x14ac:dyDescent="0.25">
      <c r="A452" s="170"/>
      <c r="B452" s="170"/>
      <c r="C452" s="170"/>
      <c r="D452" s="170"/>
      <c r="E452" s="169"/>
      <c r="F452" s="167"/>
      <c r="G452" s="168"/>
    </row>
    <row r="453" spans="1:11" s="43" customFormat="1" x14ac:dyDescent="0.25">
      <c r="A453" s="170"/>
      <c r="B453" s="170"/>
      <c r="C453" s="170"/>
      <c r="D453" s="170"/>
      <c r="E453" s="185">
        <v>2012</v>
      </c>
      <c r="F453" s="185">
        <v>2013</v>
      </c>
      <c r="G453" s="185">
        <v>2014</v>
      </c>
    </row>
    <row r="454" spans="1:11" ht="45" x14ac:dyDescent="0.25">
      <c r="A454" s="170" t="s">
        <v>608</v>
      </c>
      <c r="B454" s="170" t="s">
        <v>497</v>
      </c>
      <c r="C454" s="170" t="s">
        <v>473</v>
      </c>
      <c r="D454" s="170"/>
      <c r="E454" s="171">
        <v>38.045659541922369</v>
      </c>
      <c r="F454" s="171">
        <v>38.997182769264846</v>
      </c>
      <c r="G454" s="171">
        <v>39.637153822136654</v>
      </c>
    </row>
    <row r="455" spans="1:11" s="43" customFormat="1" x14ac:dyDescent="0.25">
      <c r="A455" s="170"/>
      <c r="B455" s="170"/>
      <c r="C455" s="170"/>
      <c r="D455" s="170"/>
      <c r="E455" s="163"/>
      <c r="F455" s="164"/>
      <c r="G455" s="165"/>
      <c r="H455" s="243" t="s">
        <v>872</v>
      </c>
      <c r="I455" s="243">
        <v>393.01599271585297</v>
      </c>
      <c r="J455" s="243">
        <v>395.72497934409699</v>
      </c>
      <c r="K455" s="243">
        <v>397.54697693162302</v>
      </c>
    </row>
    <row r="456" spans="1:11" s="43" customFormat="1" x14ac:dyDescent="0.25">
      <c r="A456" s="170"/>
      <c r="B456" s="170"/>
      <c r="C456" s="170"/>
      <c r="D456" s="170"/>
      <c r="E456" s="163"/>
      <c r="F456" s="164"/>
      <c r="G456" s="165"/>
      <c r="H456" s="176" t="s">
        <v>873</v>
      </c>
      <c r="I456" s="243"/>
    </row>
    <row r="457" spans="1:11" s="43" customFormat="1" x14ac:dyDescent="0.25">
      <c r="A457" s="170"/>
      <c r="B457" s="170"/>
      <c r="C457" s="170"/>
      <c r="D457" s="170"/>
      <c r="E457" s="185"/>
      <c r="F457" s="185"/>
      <c r="G457" s="185"/>
      <c r="H457" s="176" t="s">
        <v>874</v>
      </c>
    </row>
    <row r="458" spans="1:11" x14ac:dyDescent="0.25">
      <c r="A458" s="170" t="s">
        <v>609</v>
      </c>
      <c r="B458" s="170" t="s">
        <v>494</v>
      </c>
      <c r="C458" s="170" t="s">
        <v>493</v>
      </c>
      <c r="D458" s="170"/>
    </row>
    <row r="459" spans="1:11" s="43" customFormat="1" x14ac:dyDescent="0.25">
      <c r="A459" s="170"/>
      <c r="B459" s="170"/>
      <c r="C459" s="170"/>
      <c r="D459" s="170"/>
      <c r="E459" s="163"/>
      <c r="F459" s="164"/>
      <c r="G459" s="165"/>
    </row>
    <row r="460" spans="1:11" s="43" customFormat="1" x14ac:dyDescent="0.25">
      <c r="A460" s="170"/>
      <c r="B460" s="170"/>
      <c r="C460" s="170"/>
      <c r="D460" s="170"/>
      <c r="E460" s="163"/>
      <c r="F460" s="164"/>
      <c r="G460" s="165"/>
    </row>
    <row r="461" spans="1:11" s="43" customFormat="1" x14ac:dyDescent="0.25">
      <c r="A461" s="170"/>
      <c r="B461" s="170"/>
      <c r="C461" s="170"/>
      <c r="D461" s="170"/>
      <c r="E461" s="163"/>
      <c r="F461" s="164"/>
      <c r="G461" s="165"/>
    </row>
    <row r="462" spans="1:11" s="43" customFormat="1" x14ac:dyDescent="0.25">
      <c r="A462" s="170"/>
      <c r="B462" s="170"/>
      <c r="C462" s="170"/>
      <c r="D462" s="170"/>
      <c r="E462" s="163"/>
      <c r="F462" s="164"/>
      <c r="G462" s="165"/>
    </row>
    <row r="463" spans="1:11" s="43" customFormat="1" x14ac:dyDescent="0.25">
      <c r="A463" s="170"/>
      <c r="B463" s="170"/>
      <c r="C463" s="170"/>
      <c r="D463" s="170"/>
      <c r="E463" s="163"/>
      <c r="F463" s="164"/>
      <c r="G463" s="165"/>
    </row>
    <row r="464" spans="1:11" s="43" customFormat="1" x14ac:dyDescent="0.25">
      <c r="A464" s="170"/>
      <c r="B464" s="170"/>
      <c r="C464" s="170"/>
      <c r="D464" s="170"/>
      <c r="E464" s="169"/>
      <c r="F464" s="167"/>
      <c r="G464" s="168"/>
    </row>
    <row r="465" spans="1:7" s="43" customFormat="1" x14ac:dyDescent="0.25">
      <c r="A465" s="170"/>
      <c r="B465" s="170"/>
      <c r="C465" s="170"/>
      <c r="D465" s="170"/>
      <c r="E465" s="169"/>
      <c r="F465" s="167"/>
      <c r="G465" s="168"/>
    </row>
    <row r="466" spans="1:7" s="43" customFormat="1" x14ac:dyDescent="0.25">
      <c r="A466" s="170"/>
      <c r="B466" s="170"/>
      <c r="C466" s="170"/>
      <c r="D466" s="170"/>
      <c r="E466" s="169"/>
      <c r="F466" s="167"/>
      <c r="G466" s="168"/>
    </row>
    <row r="467" spans="1:7" s="43" customFormat="1" x14ac:dyDescent="0.25">
      <c r="A467" s="170"/>
      <c r="B467" s="170"/>
      <c r="C467" s="170"/>
      <c r="D467" s="170"/>
      <c r="E467" s="169"/>
      <c r="F467" s="167"/>
      <c r="G467" s="168"/>
    </row>
    <row r="468" spans="1:7" s="43" customFormat="1" x14ac:dyDescent="0.25">
      <c r="A468" s="170"/>
      <c r="B468" s="170"/>
      <c r="C468" s="170"/>
      <c r="D468" s="170"/>
      <c r="E468" s="169"/>
      <c r="F468" s="167"/>
      <c r="G468" s="168"/>
    </row>
    <row r="469" spans="1:7" s="43" customFormat="1" x14ac:dyDescent="0.25">
      <c r="A469" s="170"/>
      <c r="B469" s="170"/>
      <c r="C469" s="170"/>
      <c r="D469" s="170"/>
      <c r="E469" s="185"/>
      <c r="F469" s="185"/>
      <c r="G469" s="185"/>
    </row>
    <row r="470" spans="1:7" ht="30" x14ac:dyDescent="0.25">
      <c r="A470" s="170" t="s">
        <v>610</v>
      </c>
      <c r="B470" s="170" t="s">
        <v>495</v>
      </c>
      <c r="C470" s="170" t="s">
        <v>191</v>
      </c>
      <c r="D470" s="170"/>
    </row>
    <row r="471" spans="1:7" s="43" customFormat="1" x14ac:dyDescent="0.25">
      <c r="A471" s="170"/>
      <c r="B471" s="170"/>
      <c r="C471" s="170"/>
      <c r="D471" s="170"/>
      <c r="E471" s="163"/>
      <c r="F471" s="164"/>
      <c r="G471" s="165"/>
    </row>
    <row r="472" spans="1:7" s="43" customFormat="1" x14ac:dyDescent="0.25">
      <c r="A472" s="170"/>
      <c r="B472" s="170"/>
      <c r="C472" s="170"/>
      <c r="D472" s="170"/>
      <c r="E472" s="163"/>
      <c r="F472" s="164"/>
      <c r="G472" s="165"/>
    </row>
    <row r="473" spans="1:7" s="43" customFormat="1" x14ac:dyDescent="0.25">
      <c r="A473" s="170"/>
      <c r="B473" s="170"/>
      <c r="C473" s="170"/>
      <c r="D473" s="170"/>
      <c r="E473" s="163"/>
      <c r="F473" s="164"/>
      <c r="G473" s="165"/>
    </row>
    <row r="474" spans="1:7" s="43" customFormat="1" x14ac:dyDescent="0.25">
      <c r="A474" s="170"/>
      <c r="B474" s="170"/>
      <c r="C474" s="170"/>
      <c r="D474" s="170"/>
      <c r="E474" s="163"/>
      <c r="F474" s="164"/>
      <c r="G474" s="165"/>
    </row>
    <row r="475" spans="1:7" s="43" customFormat="1" x14ac:dyDescent="0.25">
      <c r="A475" s="170"/>
      <c r="B475" s="170"/>
      <c r="C475" s="170"/>
      <c r="D475" s="170"/>
      <c r="E475" s="163"/>
      <c r="F475" s="164"/>
      <c r="G475" s="165"/>
    </row>
    <row r="476" spans="1:7" s="43" customFormat="1" x14ac:dyDescent="0.25">
      <c r="A476" s="170"/>
      <c r="B476" s="170"/>
      <c r="C476" s="170"/>
      <c r="D476" s="170"/>
      <c r="E476" s="169"/>
      <c r="F476" s="167"/>
      <c r="G476" s="168"/>
    </row>
    <row r="477" spans="1:7" s="43" customFormat="1" x14ac:dyDescent="0.25">
      <c r="A477" s="170"/>
      <c r="B477" s="170"/>
      <c r="C477" s="170"/>
      <c r="D477" s="170"/>
      <c r="E477" s="169"/>
      <c r="F477" s="167"/>
      <c r="G477" s="168"/>
    </row>
    <row r="478" spans="1:7" s="43" customFormat="1" x14ac:dyDescent="0.25">
      <c r="A478" s="170"/>
      <c r="B478" s="170"/>
      <c r="C478" s="170"/>
      <c r="D478" s="170"/>
      <c r="E478" s="169"/>
      <c r="F478" s="167"/>
      <c r="G478" s="168"/>
    </row>
    <row r="479" spans="1:7" s="43" customFormat="1" x14ac:dyDescent="0.25">
      <c r="A479" s="170"/>
      <c r="B479" s="170"/>
      <c r="C479" s="170"/>
      <c r="D479" s="170"/>
      <c r="E479" s="169"/>
      <c r="F479" s="167"/>
      <c r="G479" s="168"/>
    </row>
    <row r="480" spans="1:7" s="43" customFormat="1" x14ac:dyDescent="0.25">
      <c r="A480" s="170"/>
      <c r="B480" s="170"/>
      <c r="C480" s="170"/>
      <c r="D480" s="170"/>
      <c r="E480" s="169"/>
      <c r="F480" s="167"/>
      <c r="G480" s="168"/>
    </row>
    <row r="481" spans="1:8" s="43" customFormat="1" x14ac:dyDescent="0.25">
      <c r="A481" s="170"/>
      <c r="B481" s="170"/>
      <c r="C481" s="170"/>
      <c r="D481" s="170"/>
      <c r="E481" s="185"/>
      <c r="F481" s="185"/>
      <c r="G481" s="185"/>
    </row>
    <row r="482" spans="1:8" ht="30" x14ac:dyDescent="0.25">
      <c r="A482" s="170" t="s">
        <v>611</v>
      </c>
      <c r="B482" s="170" t="s">
        <v>635</v>
      </c>
      <c r="C482" s="170" t="s">
        <v>636</v>
      </c>
      <c r="D482" s="170"/>
    </row>
    <row r="483" spans="1:8" s="43" customFormat="1" x14ac:dyDescent="0.25">
      <c r="A483" s="170"/>
      <c r="B483" s="170"/>
      <c r="C483" s="170"/>
      <c r="D483" s="170"/>
      <c r="E483" s="163"/>
      <c r="F483" s="164"/>
      <c r="G483" s="165"/>
    </row>
    <row r="484" spans="1:8" s="43" customFormat="1" x14ac:dyDescent="0.25">
      <c r="A484" s="170"/>
      <c r="B484" s="170"/>
      <c r="C484" s="170"/>
      <c r="D484" s="170"/>
      <c r="E484" s="163"/>
      <c r="F484" s="164"/>
      <c r="G484" s="165"/>
    </row>
    <row r="485" spans="1:8" s="43" customFormat="1" x14ac:dyDescent="0.25">
      <c r="A485" s="170"/>
      <c r="B485" s="170"/>
      <c r="C485" s="170"/>
      <c r="D485" s="170"/>
      <c r="E485" s="163"/>
      <c r="F485" s="164"/>
      <c r="G485" s="165"/>
    </row>
    <row r="486" spans="1:8" s="43" customFormat="1" x14ac:dyDescent="0.25">
      <c r="A486" s="170"/>
      <c r="B486" s="170"/>
      <c r="C486" s="170"/>
      <c r="D486" s="170"/>
      <c r="E486" s="163"/>
      <c r="F486" s="164"/>
      <c r="G486" s="165"/>
    </row>
    <row r="487" spans="1:8" s="43" customFormat="1" x14ac:dyDescent="0.25">
      <c r="A487" s="170"/>
      <c r="B487" s="170"/>
      <c r="C487" s="170"/>
      <c r="D487" s="170"/>
      <c r="E487" s="163"/>
      <c r="F487" s="164"/>
      <c r="G487" s="165"/>
    </row>
    <row r="488" spans="1:8" s="43" customFormat="1" x14ac:dyDescent="0.25">
      <c r="A488" s="170"/>
      <c r="B488" s="170"/>
      <c r="C488" s="170"/>
      <c r="D488" s="170"/>
      <c r="E488" s="169"/>
      <c r="F488" s="167"/>
      <c r="G488" s="168"/>
    </row>
    <row r="489" spans="1:8" s="43" customFormat="1" x14ac:dyDescent="0.25">
      <c r="A489" s="170"/>
      <c r="B489" s="170"/>
      <c r="C489" s="170"/>
      <c r="D489" s="170"/>
      <c r="E489" s="169"/>
      <c r="F489" s="167"/>
      <c r="G489" s="168"/>
    </row>
    <row r="490" spans="1:8" s="43" customFormat="1" x14ac:dyDescent="0.25">
      <c r="A490" s="170"/>
      <c r="B490" s="170"/>
      <c r="C490" s="170"/>
      <c r="D490" s="170"/>
      <c r="E490" s="169"/>
      <c r="F490" s="167"/>
      <c r="G490" s="168"/>
    </row>
    <row r="491" spans="1:8" s="43" customFormat="1" x14ac:dyDescent="0.25">
      <c r="A491" s="170"/>
      <c r="B491" s="170"/>
      <c r="C491" s="170"/>
      <c r="D491" s="170"/>
      <c r="E491" s="169"/>
      <c r="F491" s="167"/>
      <c r="G491" s="168"/>
    </row>
    <row r="492" spans="1:8" s="43" customFormat="1" x14ac:dyDescent="0.25">
      <c r="A492" s="170"/>
      <c r="B492" s="170"/>
      <c r="C492" s="170"/>
      <c r="D492" s="170"/>
      <c r="E492" s="169"/>
      <c r="F492" s="167"/>
      <c r="G492" s="168"/>
    </row>
    <row r="493" spans="1:8" s="43" customFormat="1" x14ac:dyDescent="0.25">
      <c r="A493" s="170"/>
      <c r="B493" s="170"/>
      <c r="C493" s="170"/>
      <c r="D493" s="170"/>
      <c r="E493" s="185">
        <v>2014</v>
      </c>
      <c r="F493" s="185">
        <v>2015</v>
      </c>
      <c r="G493" s="185">
        <v>2016</v>
      </c>
    </row>
    <row r="494" spans="1:8" ht="45" x14ac:dyDescent="0.25">
      <c r="A494" s="170" t="s">
        <v>640</v>
      </c>
      <c r="B494" s="170" t="s">
        <v>644</v>
      </c>
      <c r="C494" s="170" t="s">
        <v>645</v>
      </c>
      <c r="D494" s="170"/>
      <c r="E494" s="171">
        <v>0.41</v>
      </c>
      <c r="F494" s="171">
        <v>0.44</v>
      </c>
      <c r="G494" s="171">
        <v>0.37</v>
      </c>
      <c r="H494" s="176" t="s">
        <v>788</v>
      </c>
    </row>
    <row r="495" spans="1:8" s="43" customFormat="1" ht="15" customHeight="1" x14ac:dyDescent="0.25">
      <c r="A495" s="170"/>
      <c r="B495" s="170"/>
      <c r="C495" s="170"/>
      <c r="D495" s="173" t="s">
        <v>789</v>
      </c>
      <c r="E495" s="163">
        <v>1.21</v>
      </c>
      <c r="F495" s="164">
        <v>0.64</v>
      </c>
      <c r="G495" s="165">
        <v>0.66</v>
      </c>
    </row>
    <row r="496" spans="1:8" s="43" customFormat="1" x14ac:dyDescent="0.25">
      <c r="A496" s="170"/>
      <c r="B496" s="170"/>
      <c r="C496" s="170"/>
      <c r="D496" s="173" t="s">
        <v>790</v>
      </c>
      <c r="E496" s="163">
        <v>0.69</v>
      </c>
      <c r="F496" s="164">
        <v>0.76</v>
      </c>
      <c r="G496" s="165">
        <v>0.48</v>
      </c>
    </row>
    <row r="497" spans="1:8" s="43" customFormat="1" ht="15" customHeight="1" x14ac:dyDescent="0.25">
      <c r="A497" s="170"/>
      <c r="B497" s="170"/>
      <c r="C497" s="170"/>
      <c r="D497" s="173" t="s">
        <v>798</v>
      </c>
      <c r="E497" s="163">
        <v>0.67</v>
      </c>
      <c r="F497" s="164">
        <v>0.71</v>
      </c>
      <c r="G497" s="165">
        <v>0.47</v>
      </c>
    </row>
    <row r="498" spans="1:8" s="43" customFormat="1" ht="15" customHeight="1" x14ac:dyDescent="0.25">
      <c r="A498" s="170"/>
      <c r="B498" s="170"/>
      <c r="C498" s="170"/>
      <c r="D498" s="173" t="s">
        <v>791</v>
      </c>
      <c r="E498" s="163">
        <v>0.53</v>
      </c>
      <c r="F498" s="164">
        <v>0.94</v>
      </c>
      <c r="G498" s="165">
        <v>0.47</v>
      </c>
    </row>
    <row r="499" spans="1:8" s="43" customFormat="1" x14ac:dyDescent="0.25">
      <c r="A499" s="170"/>
      <c r="B499" s="170"/>
      <c r="C499" s="170"/>
      <c r="D499" s="173" t="s">
        <v>792</v>
      </c>
      <c r="E499" s="163">
        <v>0.2</v>
      </c>
      <c r="F499" s="164">
        <v>0.21</v>
      </c>
      <c r="G499" s="165">
        <v>0.14000000000000001</v>
      </c>
    </row>
    <row r="500" spans="1:8" s="43" customFormat="1" ht="15" customHeight="1" x14ac:dyDescent="0.25">
      <c r="A500" s="170"/>
      <c r="B500" s="170"/>
      <c r="C500" s="170"/>
      <c r="D500" s="173" t="s">
        <v>794</v>
      </c>
      <c r="E500" s="169">
        <v>0.09</v>
      </c>
      <c r="F500" s="167">
        <v>0.08</v>
      </c>
      <c r="G500" s="168">
        <v>0.08</v>
      </c>
      <c r="H500" s="191"/>
    </row>
    <row r="501" spans="1:8" s="43" customFormat="1" ht="15" customHeight="1" x14ac:dyDescent="0.25">
      <c r="A501" s="170"/>
      <c r="B501" s="170"/>
      <c r="C501" s="170"/>
      <c r="D501" s="173" t="s">
        <v>795</v>
      </c>
      <c r="E501" s="169">
        <v>0</v>
      </c>
      <c r="F501" s="167">
        <v>-0.02</v>
      </c>
      <c r="G501" s="168">
        <v>0</v>
      </c>
      <c r="H501" s="191"/>
    </row>
    <row r="502" spans="1:8" s="43" customFormat="1" ht="15" customHeight="1" x14ac:dyDescent="0.25">
      <c r="A502" s="170"/>
      <c r="B502" s="170"/>
      <c r="C502" s="170"/>
      <c r="D502" s="173" t="s">
        <v>796</v>
      </c>
      <c r="E502" s="169">
        <v>0.06</v>
      </c>
      <c r="F502" s="167">
        <v>0.13</v>
      </c>
      <c r="G502" s="168">
        <v>-0.09</v>
      </c>
      <c r="H502" s="191"/>
    </row>
    <row r="503" spans="1:8" s="43" customFormat="1" ht="15" customHeight="1" x14ac:dyDescent="0.25">
      <c r="A503" s="170"/>
      <c r="B503" s="170"/>
      <c r="C503" s="170"/>
      <c r="D503" s="173" t="s">
        <v>799</v>
      </c>
      <c r="E503" s="169">
        <v>-0.44</v>
      </c>
      <c r="F503" s="167">
        <v>-0.42</v>
      </c>
      <c r="G503" s="168">
        <v>-0.47</v>
      </c>
      <c r="H503" s="191"/>
    </row>
    <row r="504" spans="1:8" s="43" customFormat="1" x14ac:dyDescent="0.25">
      <c r="A504" s="170"/>
      <c r="B504" s="170"/>
      <c r="C504" s="170"/>
      <c r="D504" s="173" t="s">
        <v>797</v>
      </c>
      <c r="E504" s="169">
        <v>-0.86</v>
      </c>
      <c r="F504" s="167">
        <v>-0.85</v>
      </c>
      <c r="G504" s="168">
        <v>-0.85</v>
      </c>
      <c r="H504" s="191"/>
    </row>
    <row r="505" spans="1:8" s="43" customFormat="1" x14ac:dyDescent="0.25">
      <c r="A505" s="170"/>
      <c r="B505" s="170"/>
      <c r="C505" s="170"/>
      <c r="D505" s="170"/>
      <c r="E505" s="185"/>
      <c r="F505" s="185"/>
      <c r="G505" s="185"/>
    </row>
    <row r="506" spans="1:8" ht="30" x14ac:dyDescent="0.25">
      <c r="A506" s="170" t="s">
        <v>612</v>
      </c>
      <c r="B506" s="170" t="s">
        <v>492</v>
      </c>
      <c r="C506" s="170" t="s">
        <v>493</v>
      </c>
      <c r="D506" s="170"/>
    </row>
    <row r="507" spans="1:8" s="43" customFormat="1" x14ac:dyDescent="0.25">
      <c r="A507" s="170"/>
      <c r="B507" s="170"/>
      <c r="C507" s="170"/>
      <c r="D507" s="170"/>
      <c r="E507" s="163"/>
      <c r="F507" s="164"/>
      <c r="G507" s="165"/>
    </row>
    <row r="508" spans="1:8" s="43" customFormat="1" x14ac:dyDescent="0.25">
      <c r="A508" s="170"/>
      <c r="B508" s="170"/>
      <c r="C508" s="170"/>
      <c r="D508" s="170"/>
      <c r="E508" s="163"/>
      <c r="F508" s="164"/>
      <c r="G508" s="165"/>
    </row>
    <row r="509" spans="1:8" s="43" customFormat="1" x14ac:dyDescent="0.25">
      <c r="A509" s="170"/>
      <c r="B509" s="170"/>
      <c r="C509" s="170"/>
      <c r="D509" s="170"/>
      <c r="E509" s="163"/>
      <c r="F509" s="164"/>
      <c r="G509" s="165"/>
    </row>
    <row r="510" spans="1:8" s="43" customFormat="1" x14ac:dyDescent="0.25">
      <c r="A510" s="170"/>
      <c r="B510" s="170"/>
      <c r="C510" s="170"/>
      <c r="D510" s="170"/>
      <c r="E510" s="163"/>
      <c r="F510" s="164"/>
      <c r="G510" s="165"/>
    </row>
    <row r="511" spans="1:8" s="43" customFormat="1" x14ac:dyDescent="0.25">
      <c r="A511" s="170"/>
      <c r="B511" s="170"/>
      <c r="C511" s="170"/>
      <c r="D511" s="170"/>
      <c r="E511" s="163"/>
      <c r="F511" s="164"/>
      <c r="G511" s="165"/>
    </row>
    <row r="512" spans="1:8" s="43" customFormat="1" x14ac:dyDescent="0.25">
      <c r="A512" s="170"/>
      <c r="B512" s="170"/>
      <c r="C512" s="170"/>
      <c r="D512" s="170"/>
      <c r="E512" s="169"/>
      <c r="F512" s="167"/>
      <c r="G512" s="168"/>
    </row>
    <row r="513" spans="1:7" s="43" customFormat="1" x14ac:dyDescent="0.25">
      <c r="A513" s="170"/>
      <c r="B513" s="170"/>
      <c r="C513" s="170"/>
      <c r="D513" s="170"/>
      <c r="E513" s="169"/>
      <c r="F513" s="167"/>
      <c r="G513" s="168"/>
    </row>
    <row r="514" spans="1:7" s="43" customFormat="1" x14ac:dyDescent="0.25">
      <c r="A514" s="170"/>
      <c r="B514" s="170"/>
      <c r="C514" s="170"/>
      <c r="D514" s="170"/>
      <c r="E514" s="169"/>
      <c r="F514" s="167"/>
      <c r="G514" s="168"/>
    </row>
    <row r="515" spans="1:7" s="43" customFormat="1" x14ac:dyDescent="0.25">
      <c r="A515" s="170"/>
      <c r="B515" s="170"/>
      <c r="C515" s="170"/>
      <c r="D515" s="170"/>
      <c r="E515" s="169"/>
      <c r="F515" s="167"/>
      <c r="G515" s="168"/>
    </row>
    <row r="516" spans="1:7" s="43" customFormat="1" x14ac:dyDescent="0.25">
      <c r="A516" s="170"/>
      <c r="B516" s="170"/>
      <c r="C516" s="170"/>
      <c r="D516" s="170"/>
      <c r="E516" s="169"/>
      <c r="F516" s="167"/>
      <c r="G516" s="168"/>
    </row>
    <row r="517" spans="1:7" s="43" customFormat="1" x14ac:dyDescent="0.25">
      <c r="A517" s="170"/>
      <c r="B517" s="170"/>
      <c r="C517" s="170"/>
      <c r="D517" s="170"/>
      <c r="E517" s="185"/>
      <c r="F517" s="185"/>
      <c r="G517" s="185"/>
    </row>
    <row r="518" spans="1:7" ht="30" x14ac:dyDescent="0.25">
      <c r="A518" s="170" t="s">
        <v>613</v>
      </c>
      <c r="B518" s="170" t="s">
        <v>496</v>
      </c>
      <c r="C518" s="170" t="s">
        <v>191</v>
      </c>
      <c r="D518" s="170"/>
    </row>
    <row r="519" spans="1:7" s="43" customFormat="1" x14ac:dyDescent="0.25">
      <c r="A519" s="170"/>
      <c r="B519" s="170"/>
      <c r="C519" s="170"/>
      <c r="D519" s="170"/>
      <c r="E519" s="163"/>
      <c r="F519" s="164"/>
      <c r="G519" s="165"/>
    </row>
    <row r="520" spans="1:7" s="43" customFormat="1" x14ac:dyDescent="0.25">
      <c r="A520" s="170"/>
      <c r="B520" s="170"/>
      <c r="C520" s="170"/>
      <c r="D520" s="170"/>
      <c r="E520" s="163"/>
      <c r="F520" s="164"/>
      <c r="G520" s="165"/>
    </row>
    <row r="521" spans="1:7" s="43" customFormat="1" x14ac:dyDescent="0.25">
      <c r="A521" s="170"/>
      <c r="B521" s="170"/>
      <c r="C521" s="170"/>
      <c r="D521" s="170"/>
      <c r="E521" s="163"/>
      <c r="F521" s="164"/>
      <c r="G521" s="165"/>
    </row>
    <row r="522" spans="1:7" s="43" customFormat="1" x14ac:dyDescent="0.25">
      <c r="A522" s="170"/>
      <c r="B522" s="170"/>
      <c r="C522" s="170"/>
      <c r="D522" s="170"/>
      <c r="E522" s="163"/>
      <c r="F522" s="164"/>
      <c r="G522" s="165"/>
    </row>
    <row r="523" spans="1:7" s="43" customFormat="1" x14ac:dyDescent="0.25">
      <c r="A523" s="170"/>
      <c r="B523" s="170"/>
      <c r="C523" s="170"/>
      <c r="D523" s="170"/>
      <c r="E523" s="163"/>
      <c r="F523" s="164"/>
      <c r="G523" s="165"/>
    </row>
    <row r="524" spans="1:7" s="43" customFormat="1" x14ac:dyDescent="0.25">
      <c r="A524" s="170"/>
      <c r="B524" s="170"/>
      <c r="C524" s="170"/>
      <c r="D524" s="170"/>
      <c r="E524" s="169"/>
      <c r="F524" s="167"/>
      <c r="G524" s="168"/>
    </row>
    <row r="525" spans="1:7" s="43" customFormat="1" x14ac:dyDescent="0.25">
      <c r="A525" s="170"/>
      <c r="B525" s="170"/>
      <c r="C525" s="170"/>
      <c r="D525" s="170"/>
      <c r="E525" s="169"/>
      <c r="F525" s="167"/>
      <c r="G525" s="168"/>
    </row>
    <row r="526" spans="1:7" s="43" customFormat="1" x14ac:dyDescent="0.25">
      <c r="A526" s="170"/>
      <c r="B526" s="170"/>
      <c r="C526" s="170"/>
      <c r="D526" s="170"/>
      <c r="E526" s="169"/>
      <c r="F526" s="167"/>
      <c r="G526" s="168"/>
    </row>
    <row r="527" spans="1:7" s="43" customFormat="1" x14ac:dyDescent="0.25">
      <c r="A527" s="170"/>
      <c r="B527" s="170"/>
      <c r="C527" s="170"/>
      <c r="D527" s="170"/>
      <c r="E527" s="169"/>
      <c r="F527" s="167"/>
      <c r="G527" s="168"/>
    </row>
    <row r="528" spans="1:7" s="43" customFormat="1" x14ac:dyDescent="0.25">
      <c r="A528" s="170"/>
      <c r="B528" s="170"/>
      <c r="C528" s="170"/>
      <c r="D528" s="170"/>
      <c r="E528" s="169"/>
      <c r="F528" s="167"/>
      <c r="G528" s="168"/>
    </row>
    <row r="529" spans="1:8" s="43" customFormat="1" x14ac:dyDescent="0.25">
      <c r="A529" s="170"/>
      <c r="B529" s="170"/>
      <c r="C529" s="170"/>
      <c r="D529" s="170"/>
      <c r="E529" s="185"/>
      <c r="F529" s="185"/>
      <c r="G529" s="185"/>
    </row>
    <row r="530" spans="1:8" ht="30" x14ac:dyDescent="0.25">
      <c r="A530" s="170" t="s">
        <v>614</v>
      </c>
      <c r="B530" s="170" t="s">
        <v>637</v>
      </c>
      <c r="C530" s="170" t="s">
        <v>636</v>
      </c>
      <c r="D530" s="170"/>
    </row>
    <row r="531" spans="1:8" s="43" customFormat="1" x14ac:dyDescent="0.25">
      <c r="A531" s="170"/>
      <c r="B531" s="170"/>
      <c r="C531" s="170"/>
      <c r="D531" s="170"/>
      <c r="E531" s="163"/>
      <c r="F531" s="164"/>
      <c r="G531" s="165"/>
    </row>
    <row r="532" spans="1:8" s="43" customFormat="1" x14ac:dyDescent="0.25">
      <c r="A532" s="170"/>
      <c r="B532" s="170"/>
      <c r="C532" s="170"/>
      <c r="D532" s="170"/>
      <c r="E532" s="163"/>
      <c r="F532" s="164"/>
      <c r="G532" s="165"/>
    </row>
    <row r="533" spans="1:8" s="43" customFormat="1" x14ac:dyDescent="0.25">
      <c r="A533" s="170"/>
      <c r="B533" s="170"/>
      <c r="C533" s="170"/>
      <c r="D533" s="170"/>
      <c r="E533" s="163"/>
      <c r="F533" s="164"/>
      <c r="G533" s="165"/>
    </row>
    <row r="534" spans="1:8" s="43" customFormat="1" x14ac:dyDescent="0.25">
      <c r="A534" s="170"/>
      <c r="B534" s="170"/>
      <c r="C534" s="170"/>
      <c r="D534" s="170"/>
      <c r="E534" s="163"/>
      <c r="F534" s="164"/>
      <c r="G534" s="165"/>
    </row>
    <row r="535" spans="1:8" s="43" customFormat="1" x14ac:dyDescent="0.25">
      <c r="A535" s="170"/>
      <c r="B535" s="170"/>
      <c r="C535" s="170"/>
      <c r="D535" s="170"/>
      <c r="E535" s="163"/>
      <c r="F535" s="164"/>
      <c r="G535" s="165"/>
    </row>
    <row r="536" spans="1:8" s="43" customFormat="1" x14ac:dyDescent="0.25">
      <c r="A536" s="170"/>
      <c r="B536" s="170"/>
      <c r="C536" s="170"/>
      <c r="D536" s="170"/>
      <c r="E536" s="169"/>
      <c r="F536" s="167"/>
      <c r="G536" s="168"/>
    </row>
    <row r="537" spans="1:8" s="43" customFormat="1" x14ac:dyDescent="0.25">
      <c r="A537" s="170"/>
      <c r="B537" s="170"/>
      <c r="C537" s="170"/>
      <c r="D537" s="170"/>
      <c r="E537" s="169"/>
      <c r="F537" s="167"/>
      <c r="G537" s="168"/>
    </row>
    <row r="538" spans="1:8" s="43" customFormat="1" x14ac:dyDescent="0.25">
      <c r="A538" s="170"/>
      <c r="B538" s="170"/>
      <c r="C538" s="170"/>
      <c r="D538" s="170"/>
      <c r="E538" s="169"/>
      <c r="F538" s="167"/>
      <c r="G538" s="168"/>
    </row>
    <row r="539" spans="1:8" s="43" customFormat="1" x14ac:dyDescent="0.25">
      <c r="A539" s="170"/>
      <c r="B539" s="170"/>
      <c r="C539" s="170"/>
      <c r="D539" s="170"/>
      <c r="E539" s="169"/>
      <c r="F539" s="167"/>
      <c r="G539" s="168"/>
    </row>
    <row r="540" spans="1:8" s="43" customFormat="1" x14ac:dyDescent="0.25">
      <c r="A540" s="170"/>
      <c r="B540" s="170"/>
      <c r="C540" s="170"/>
      <c r="D540" s="170"/>
      <c r="E540" s="169"/>
      <c r="F540" s="167"/>
      <c r="G540" s="168"/>
    </row>
    <row r="541" spans="1:8" s="43" customFormat="1" x14ac:dyDescent="0.25">
      <c r="A541" s="170"/>
      <c r="B541" s="170"/>
      <c r="C541" s="170"/>
      <c r="D541" s="170"/>
      <c r="E541" s="185">
        <v>2015</v>
      </c>
      <c r="F541" s="185">
        <v>2016</v>
      </c>
      <c r="G541" s="185">
        <v>2017</v>
      </c>
    </row>
    <row r="542" spans="1:8" ht="45" x14ac:dyDescent="0.25">
      <c r="A542" s="170" t="s">
        <v>641</v>
      </c>
      <c r="B542" s="170" t="s">
        <v>646</v>
      </c>
      <c r="C542" s="170" t="s">
        <v>645</v>
      </c>
      <c r="D542" s="170"/>
      <c r="E542" s="171">
        <v>0.02</v>
      </c>
      <c r="F542" s="171">
        <v>0.02</v>
      </c>
      <c r="G542" s="171">
        <v>0.02</v>
      </c>
      <c r="H542" s="176" t="s">
        <v>804</v>
      </c>
    </row>
    <row r="543" spans="1:8" s="43" customFormat="1" x14ac:dyDescent="0.25">
      <c r="A543" s="170"/>
      <c r="B543" s="170"/>
      <c r="C543" s="170"/>
      <c r="D543" s="173" t="s">
        <v>795</v>
      </c>
      <c r="E543" s="163">
        <v>0.03</v>
      </c>
      <c r="F543" s="164">
        <v>0.03</v>
      </c>
      <c r="G543" s="165">
        <v>0.03</v>
      </c>
    </row>
    <row r="544" spans="1:8" s="43" customFormat="1" ht="15" customHeight="1" x14ac:dyDescent="0.25">
      <c r="A544" s="170"/>
      <c r="B544" s="170"/>
      <c r="C544" s="170"/>
      <c r="D544" s="173" t="s">
        <v>796</v>
      </c>
      <c r="E544" s="163">
        <v>0.03</v>
      </c>
      <c r="F544" s="164">
        <v>0.03</v>
      </c>
      <c r="G544" s="165">
        <v>0.03</v>
      </c>
    </row>
    <row r="545" spans="1:8" s="43" customFormat="1" x14ac:dyDescent="0.25">
      <c r="A545" s="170"/>
      <c r="B545" s="170"/>
      <c r="C545" s="170"/>
      <c r="D545" s="173" t="s">
        <v>797</v>
      </c>
      <c r="E545" s="163">
        <v>0.02</v>
      </c>
      <c r="F545" s="164">
        <v>0.02</v>
      </c>
      <c r="G545" s="165">
        <v>0.02</v>
      </c>
    </row>
    <row r="546" spans="1:8" s="43" customFormat="1" ht="15" customHeight="1" x14ac:dyDescent="0.25">
      <c r="A546" s="170"/>
      <c r="B546" s="170"/>
      <c r="C546" s="170"/>
      <c r="D546" s="173" t="s">
        <v>789</v>
      </c>
      <c r="E546" s="163">
        <v>0.02</v>
      </c>
      <c r="F546" s="164">
        <v>0.02</v>
      </c>
      <c r="G546" s="165">
        <v>0.02</v>
      </c>
    </row>
    <row r="547" spans="1:8" s="43" customFormat="1" x14ac:dyDescent="0.25">
      <c r="A547" s="170"/>
      <c r="B547" s="170"/>
      <c r="C547" s="170"/>
      <c r="D547" s="173" t="s">
        <v>799</v>
      </c>
      <c r="E547" s="163">
        <v>0.02</v>
      </c>
      <c r="F547" s="164">
        <v>0.02</v>
      </c>
      <c r="G547" s="165">
        <v>0.02</v>
      </c>
    </row>
    <row r="548" spans="1:8" s="43" customFormat="1" x14ac:dyDescent="0.25">
      <c r="A548" s="170"/>
      <c r="B548" s="170"/>
      <c r="C548" s="170"/>
      <c r="D548" s="173" t="s">
        <v>793</v>
      </c>
      <c r="E548" s="169">
        <v>0.02</v>
      </c>
      <c r="F548" s="167">
        <v>0.02</v>
      </c>
      <c r="G548" s="168">
        <v>0.02</v>
      </c>
      <c r="H548" s="191"/>
    </row>
    <row r="549" spans="1:8" s="43" customFormat="1" ht="15" customHeight="1" x14ac:dyDescent="0.25">
      <c r="A549" s="170"/>
      <c r="B549" s="170"/>
      <c r="C549" s="170"/>
      <c r="D549" s="173" t="s">
        <v>792</v>
      </c>
      <c r="E549" s="169">
        <v>0.01</v>
      </c>
      <c r="F549" s="167">
        <v>0.01</v>
      </c>
      <c r="G549" s="168">
        <v>0.01</v>
      </c>
      <c r="H549" s="191"/>
    </row>
    <row r="550" spans="1:8" s="43" customFormat="1" ht="15" customHeight="1" x14ac:dyDescent="0.25">
      <c r="A550" s="170"/>
      <c r="B550" s="170"/>
      <c r="C550" s="170"/>
      <c r="D550" s="173" t="s">
        <v>794</v>
      </c>
      <c r="E550" s="169">
        <v>0.01</v>
      </c>
      <c r="F550" s="167">
        <v>0.01</v>
      </c>
      <c r="G550" s="168">
        <v>0.01</v>
      </c>
      <c r="H550" s="191"/>
    </row>
    <row r="551" spans="1:8" s="43" customFormat="1" ht="15" customHeight="1" x14ac:dyDescent="0.25">
      <c r="A551" s="170"/>
      <c r="B551" s="170"/>
      <c r="C551" s="170"/>
      <c r="D551" s="173" t="s">
        <v>791</v>
      </c>
      <c r="E551" s="169">
        <v>0.01</v>
      </c>
      <c r="F551" s="167">
        <v>0.01</v>
      </c>
      <c r="G551" s="168">
        <v>0.01</v>
      </c>
      <c r="H551" s="191"/>
    </row>
    <row r="552" spans="1:8" s="43" customFormat="1" x14ac:dyDescent="0.25">
      <c r="A552" s="170"/>
      <c r="B552" s="170"/>
      <c r="C552" s="170"/>
      <c r="D552" s="173" t="s">
        <v>798</v>
      </c>
      <c r="E552" s="169">
        <v>0</v>
      </c>
      <c r="F552" s="167">
        <v>0</v>
      </c>
      <c r="G552" s="168">
        <v>0</v>
      </c>
      <c r="H552" s="191"/>
    </row>
    <row r="553" spans="1:8" s="43" customFormat="1" x14ac:dyDescent="0.25">
      <c r="A553" s="170"/>
      <c r="B553" s="170"/>
      <c r="C553" s="170"/>
      <c r="D553" s="170"/>
      <c r="E553" s="185"/>
      <c r="F553" s="185"/>
      <c r="G553" s="185"/>
    </row>
    <row r="554" spans="1:8" x14ac:dyDescent="0.25">
      <c r="A554" s="170" t="s">
        <v>615</v>
      </c>
      <c r="B554" s="170" t="s">
        <v>631</v>
      </c>
      <c r="C554" s="170" t="s">
        <v>493</v>
      </c>
      <c r="D554" s="170"/>
    </row>
    <row r="555" spans="1:8" s="43" customFormat="1" x14ac:dyDescent="0.25">
      <c r="A555" s="170"/>
      <c r="B555" s="170"/>
      <c r="C555" s="170"/>
      <c r="D555" s="170"/>
      <c r="E555" s="163"/>
      <c r="F555" s="164"/>
      <c r="G555" s="165"/>
    </row>
    <row r="556" spans="1:8" s="43" customFormat="1" x14ac:dyDescent="0.25">
      <c r="A556" s="170"/>
      <c r="B556" s="170"/>
      <c r="C556" s="170"/>
      <c r="D556" s="170"/>
      <c r="E556" s="163"/>
      <c r="F556" s="164"/>
      <c r="G556" s="165"/>
    </row>
    <row r="557" spans="1:8" s="43" customFormat="1" x14ac:dyDescent="0.25">
      <c r="A557" s="170"/>
      <c r="B557" s="170"/>
      <c r="C557" s="170"/>
      <c r="D557" s="170"/>
      <c r="E557" s="163"/>
      <c r="F557" s="164"/>
      <c r="G557" s="165"/>
    </row>
    <row r="558" spans="1:8" s="43" customFormat="1" x14ac:dyDescent="0.25">
      <c r="A558" s="170"/>
      <c r="B558" s="170"/>
      <c r="C558" s="170"/>
      <c r="D558" s="170"/>
      <c r="E558" s="163"/>
      <c r="F558" s="164"/>
      <c r="G558" s="165"/>
    </row>
    <row r="559" spans="1:8" s="43" customFormat="1" x14ac:dyDescent="0.25">
      <c r="A559" s="170"/>
      <c r="B559" s="170"/>
      <c r="C559" s="170"/>
      <c r="D559" s="170"/>
      <c r="E559" s="163"/>
      <c r="F559" s="164"/>
      <c r="G559" s="165"/>
    </row>
    <row r="560" spans="1:8" s="43" customFormat="1" x14ac:dyDescent="0.25">
      <c r="A560" s="170"/>
      <c r="B560" s="170"/>
      <c r="C560" s="170"/>
      <c r="D560" s="170"/>
      <c r="E560" s="169"/>
      <c r="F560" s="167"/>
      <c r="G560" s="168"/>
    </row>
    <row r="561" spans="1:7" s="43" customFormat="1" x14ac:dyDescent="0.25">
      <c r="A561" s="170"/>
      <c r="B561" s="170"/>
      <c r="C561" s="170"/>
      <c r="D561" s="170"/>
      <c r="E561" s="169"/>
      <c r="F561" s="167"/>
      <c r="G561" s="168"/>
    </row>
    <row r="562" spans="1:7" s="43" customFormat="1" x14ac:dyDescent="0.25">
      <c r="A562" s="170"/>
      <c r="B562" s="170"/>
      <c r="C562" s="170"/>
      <c r="D562" s="170"/>
      <c r="E562" s="169"/>
      <c r="F562" s="167"/>
      <c r="G562" s="168"/>
    </row>
    <row r="563" spans="1:7" s="43" customFormat="1" x14ac:dyDescent="0.25">
      <c r="A563" s="170"/>
      <c r="B563" s="170"/>
      <c r="C563" s="170"/>
      <c r="D563" s="170"/>
      <c r="E563" s="169"/>
      <c r="F563" s="167"/>
      <c r="G563" s="168"/>
    </row>
    <row r="564" spans="1:7" s="43" customFormat="1" x14ac:dyDescent="0.25">
      <c r="A564" s="170"/>
      <c r="B564" s="170"/>
      <c r="C564" s="170"/>
      <c r="D564" s="170"/>
      <c r="E564" s="169"/>
      <c r="F564" s="167"/>
      <c r="G564" s="168"/>
    </row>
    <row r="565" spans="1:7" s="43" customFormat="1" x14ac:dyDescent="0.25">
      <c r="A565" s="170"/>
      <c r="B565" s="170"/>
      <c r="C565" s="170"/>
      <c r="D565" s="170"/>
      <c r="E565" s="185"/>
      <c r="F565" s="185"/>
      <c r="G565" s="185"/>
    </row>
    <row r="566" spans="1:7" ht="30" x14ac:dyDescent="0.25">
      <c r="A566" s="170" t="s">
        <v>616</v>
      </c>
      <c r="B566" s="170" t="s">
        <v>633</v>
      </c>
      <c r="C566" s="170" t="s">
        <v>191</v>
      </c>
      <c r="D566" s="170"/>
    </row>
    <row r="567" spans="1:7" s="43" customFormat="1" x14ac:dyDescent="0.25">
      <c r="A567" s="170"/>
      <c r="B567" s="170"/>
      <c r="C567" s="170"/>
      <c r="D567" s="170"/>
      <c r="E567" s="163"/>
      <c r="F567" s="164"/>
      <c r="G567" s="165"/>
    </row>
    <row r="568" spans="1:7" s="43" customFormat="1" x14ac:dyDescent="0.25">
      <c r="A568" s="170"/>
      <c r="B568" s="170"/>
      <c r="C568" s="170"/>
      <c r="D568" s="170"/>
      <c r="E568" s="163"/>
      <c r="F568" s="164"/>
      <c r="G568" s="165"/>
    </row>
    <row r="569" spans="1:7" s="43" customFormat="1" x14ac:dyDescent="0.25">
      <c r="A569" s="170"/>
      <c r="B569" s="170"/>
      <c r="C569" s="170"/>
      <c r="D569" s="170"/>
      <c r="E569" s="163"/>
      <c r="F569" s="164"/>
      <c r="G569" s="165"/>
    </row>
    <row r="570" spans="1:7" s="43" customFormat="1" x14ac:dyDescent="0.25">
      <c r="A570" s="170"/>
      <c r="B570" s="170"/>
      <c r="C570" s="170"/>
      <c r="D570" s="170"/>
      <c r="E570" s="163"/>
      <c r="F570" s="164"/>
      <c r="G570" s="165"/>
    </row>
    <row r="571" spans="1:7" s="43" customFormat="1" x14ac:dyDescent="0.25">
      <c r="A571" s="170"/>
      <c r="B571" s="170"/>
      <c r="C571" s="170"/>
      <c r="D571" s="170"/>
      <c r="E571" s="163"/>
      <c r="F571" s="164"/>
      <c r="G571" s="165"/>
    </row>
    <row r="572" spans="1:7" s="43" customFormat="1" x14ac:dyDescent="0.25">
      <c r="A572" s="170"/>
      <c r="B572" s="170"/>
      <c r="C572" s="170"/>
      <c r="D572" s="170"/>
      <c r="E572" s="169"/>
      <c r="F572" s="167"/>
      <c r="G572" s="168"/>
    </row>
    <row r="573" spans="1:7" s="43" customFormat="1" x14ac:dyDescent="0.25">
      <c r="A573" s="170"/>
      <c r="B573" s="170"/>
      <c r="C573" s="170"/>
      <c r="D573" s="170"/>
      <c r="E573" s="169"/>
      <c r="F573" s="167"/>
      <c r="G573" s="168"/>
    </row>
    <row r="574" spans="1:7" s="43" customFormat="1" x14ac:dyDescent="0.25">
      <c r="A574" s="170"/>
      <c r="B574" s="170"/>
      <c r="C574" s="170"/>
      <c r="D574" s="170"/>
      <c r="E574" s="169"/>
      <c r="F574" s="167"/>
      <c r="G574" s="168"/>
    </row>
    <row r="575" spans="1:7" s="43" customFormat="1" x14ac:dyDescent="0.25">
      <c r="A575" s="170"/>
      <c r="B575" s="170"/>
      <c r="C575" s="170"/>
      <c r="D575" s="170"/>
      <c r="E575" s="169"/>
      <c r="F575" s="167"/>
      <c r="G575" s="168"/>
    </row>
    <row r="576" spans="1:7" s="43" customFormat="1" x14ac:dyDescent="0.25">
      <c r="A576" s="170"/>
      <c r="B576" s="170"/>
      <c r="C576" s="170"/>
      <c r="D576" s="170"/>
      <c r="E576" s="169"/>
      <c r="F576" s="167"/>
      <c r="G576" s="168"/>
    </row>
    <row r="577" spans="1:7" s="43" customFormat="1" x14ac:dyDescent="0.25">
      <c r="A577" s="170"/>
      <c r="B577" s="170"/>
      <c r="C577" s="170"/>
      <c r="D577" s="170"/>
      <c r="E577" s="185"/>
      <c r="F577" s="185"/>
      <c r="G577" s="185"/>
    </row>
    <row r="578" spans="1:7" ht="30" x14ac:dyDescent="0.25">
      <c r="A578" s="170" t="s">
        <v>617</v>
      </c>
      <c r="B578" s="170" t="s">
        <v>638</v>
      </c>
      <c r="C578" s="170" t="s">
        <v>636</v>
      </c>
      <c r="D578" s="170"/>
    </row>
    <row r="579" spans="1:7" s="43" customFormat="1" x14ac:dyDescent="0.25">
      <c r="A579" s="170"/>
      <c r="B579" s="170"/>
      <c r="C579" s="170"/>
      <c r="D579" s="170"/>
      <c r="E579" s="163"/>
      <c r="F579" s="164"/>
      <c r="G579" s="165"/>
    </row>
    <row r="580" spans="1:7" s="43" customFormat="1" x14ac:dyDescent="0.25">
      <c r="A580" s="170"/>
      <c r="B580" s="170"/>
      <c r="C580" s="170"/>
      <c r="D580" s="170"/>
      <c r="E580" s="163"/>
      <c r="F580" s="164"/>
      <c r="G580" s="165"/>
    </row>
    <row r="581" spans="1:7" s="43" customFormat="1" x14ac:dyDescent="0.25">
      <c r="A581" s="170"/>
      <c r="B581" s="170"/>
      <c r="C581" s="170"/>
      <c r="D581" s="170"/>
      <c r="E581" s="163"/>
      <c r="F581" s="164"/>
      <c r="G581" s="165"/>
    </row>
    <row r="582" spans="1:7" s="43" customFormat="1" x14ac:dyDescent="0.25">
      <c r="A582" s="170"/>
      <c r="B582" s="170"/>
      <c r="C582" s="170"/>
      <c r="D582" s="170"/>
      <c r="E582" s="163"/>
      <c r="F582" s="164"/>
      <c r="G582" s="165"/>
    </row>
    <row r="583" spans="1:7" s="43" customFormat="1" x14ac:dyDescent="0.25">
      <c r="A583" s="170"/>
      <c r="B583" s="170"/>
      <c r="C583" s="170"/>
      <c r="D583" s="170"/>
      <c r="E583" s="163"/>
      <c r="F583" s="164"/>
      <c r="G583" s="165"/>
    </row>
    <row r="584" spans="1:7" s="43" customFormat="1" x14ac:dyDescent="0.25">
      <c r="A584" s="170"/>
      <c r="B584" s="170"/>
      <c r="C584" s="170"/>
      <c r="D584" s="170"/>
      <c r="E584" s="169"/>
      <c r="F584" s="167"/>
      <c r="G584" s="168"/>
    </row>
    <row r="585" spans="1:7" s="43" customFormat="1" x14ac:dyDescent="0.25">
      <c r="A585" s="170"/>
      <c r="B585" s="170"/>
      <c r="C585" s="170"/>
      <c r="D585" s="170"/>
      <c r="E585" s="169"/>
      <c r="F585" s="167"/>
      <c r="G585" s="168"/>
    </row>
    <row r="586" spans="1:7" s="43" customFormat="1" x14ac:dyDescent="0.25">
      <c r="A586" s="170"/>
      <c r="B586" s="170"/>
      <c r="C586" s="170"/>
      <c r="D586" s="170"/>
      <c r="E586" s="169"/>
      <c r="F586" s="167"/>
      <c r="G586" s="168"/>
    </row>
    <row r="587" spans="1:7" s="43" customFormat="1" x14ac:dyDescent="0.25">
      <c r="A587" s="170"/>
      <c r="B587" s="170"/>
      <c r="C587" s="170"/>
      <c r="D587" s="170"/>
      <c r="E587" s="169"/>
      <c r="F587" s="167"/>
      <c r="G587" s="168"/>
    </row>
    <row r="588" spans="1:7" s="43" customFormat="1" x14ac:dyDescent="0.25">
      <c r="A588" s="170"/>
      <c r="B588" s="170"/>
      <c r="C588" s="170"/>
      <c r="D588" s="170"/>
      <c r="E588" s="169"/>
      <c r="F588" s="167"/>
      <c r="G588" s="168"/>
    </row>
    <row r="589" spans="1:7" s="43" customFormat="1" x14ac:dyDescent="0.25">
      <c r="A589" s="170"/>
      <c r="B589" s="170"/>
      <c r="C589" s="170"/>
      <c r="D589" s="170"/>
      <c r="E589" s="185"/>
      <c r="F589" s="185"/>
      <c r="G589" s="185"/>
    </row>
    <row r="590" spans="1:7" ht="45" x14ac:dyDescent="0.25">
      <c r="A590" s="170" t="s">
        <v>642</v>
      </c>
      <c r="B590" s="170" t="s">
        <v>647</v>
      </c>
      <c r="C590" s="170" t="s">
        <v>645</v>
      </c>
      <c r="D590" s="170"/>
    </row>
    <row r="591" spans="1:7" s="43" customFormat="1" x14ac:dyDescent="0.25">
      <c r="A591" s="170"/>
      <c r="B591" s="170"/>
      <c r="C591" s="170"/>
      <c r="D591" s="170"/>
      <c r="E591" s="163"/>
      <c r="F591" s="164"/>
      <c r="G591" s="165"/>
    </row>
    <row r="592" spans="1:7" s="43" customFormat="1" x14ac:dyDescent="0.25">
      <c r="A592" s="170"/>
      <c r="B592" s="170"/>
      <c r="C592" s="170"/>
      <c r="D592" s="170"/>
      <c r="E592" s="163"/>
      <c r="F592" s="164"/>
      <c r="G592" s="165"/>
    </row>
    <row r="593" spans="1:7" s="43" customFormat="1" x14ac:dyDescent="0.25">
      <c r="A593" s="170"/>
      <c r="B593" s="170"/>
      <c r="C593" s="170"/>
      <c r="D593" s="170"/>
      <c r="E593" s="163"/>
      <c r="F593" s="164"/>
      <c r="G593" s="165"/>
    </row>
    <row r="594" spans="1:7" s="43" customFormat="1" x14ac:dyDescent="0.25">
      <c r="A594" s="170"/>
      <c r="B594" s="170"/>
      <c r="C594" s="170"/>
      <c r="D594" s="170"/>
      <c r="E594" s="163"/>
      <c r="F594" s="164"/>
      <c r="G594" s="165"/>
    </row>
    <row r="595" spans="1:7" s="43" customFormat="1" x14ac:dyDescent="0.25">
      <c r="A595" s="170"/>
      <c r="B595" s="170"/>
      <c r="C595" s="170"/>
      <c r="D595" s="170"/>
      <c r="E595" s="163"/>
      <c r="F595" s="164"/>
      <c r="G595" s="165"/>
    </row>
    <row r="596" spans="1:7" s="43" customFormat="1" x14ac:dyDescent="0.25">
      <c r="A596" s="170"/>
      <c r="B596" s="170"/>
      <c r="C596" s="170"/>
      <c r="D596" s="170"/>
      <c r="E596" s="169"/>
      <c r="F596" s="167"/>
      <c r="G596" s="168"/>
    </row>
    <row r="597" spans="1:7" s="43" customFormat="1" x14ac:dyDescent="0.25">
      <c r="A597" s="170"/>
      <c r="B597" s="170"/>
      <c r="C597" s="170"/>
      <c r="D597" s="170"/>
      <c r="E597" s="169"/>
      <c r="F597" s="167"/>
      <c r="G597" s="168"/>
    </row>
    <row r="598" spans="1:7" s="43" customFormat="1" x14ac:dyDescent="0.25">
      <c r="A598" s="170"/>
      <c r="B598" s="170"/>
      <c r="C598" s="170"/>
      <c r="D598" s="170"/>
      <c r="E598" s="169"/>
      <c r="F598" s="167"/>
      <c r="G598" s="168"/>
    </row>
    <row r="599" spans="1:7" s="43" customFormat="1" x14ac:dyDescent="0.25">
      <c r="A599" s="170"/>
      <c r="B599" s="170"/>
      <c r="C599" s="170"/>
      <c r="D599" s="170"/>
      <c r="E599" s="169"/>
      <c r="F599" s="167"/>
      <c r="G599" s="168"/>
    </row>
    <row r="600" spans="1:7" s="43" customFormat="1" x14ac:dyDescent="0.25">
      <c r="A600" s="170"/>
      <c r="B600" s="170"/>
      <c r="C600" s="170"/>
      <c r="D600" s="170"/>
      <c r="E600" s="169"/>
      <c r="F600" s="167"/>
      <c r="G600" s="168"/>
    </row>
    <row r="601" spans="1:7" s="43" customFormat="1" x14ac:dyDescent="0.25">
      <c r="A601" s="170"/>
      <c r="B601" s="170"/>
      <c r="C601" s="170"/>
      <c r="D601" s="170"/>
      <c r="E601" s="185"/>
      <c r="F601" s="185"/>
      <c r="G601" s="185"/>
    </row>
    <row r="602" spans="1:7" ht="30" x14ac:dyDescent="0.25">
      <c r="A602" s="170" t="s">
        <v>618</v>
      </c>
      <c r="B602" s="170" t="s">
        <v>632</v>
      </c>
      <c r="C602" s="170" t="s">
        <v>493</v>
      </c>
      <c r="D602" s="170"/>
    </row>
    <row r="603" spans="1:7" s="43" customFormat="1" x14ac:dyDescent="0.25">
      <c r="A603" s="170"/>
      <c r="B603" s="170"/>
      <c r="C603" s="170"/>
      <c r="D603" s="170"/>
      <c r="E603" s="163"/>
      <c r="F603" s="164"/>
      <c r="G603" s="165"/>
    </row>
    <row r="604" spans="1:7" s="43" customFormat="1" x14ac:dyDescent="0.25">
      <c r="A604" s="170"/>
      <c r="B604" s="170"/>
      <c r="C604" s="170"/>
      <c r="D604" s="170"/>
      <c r="E604" s="163"/>
      <c r="F604" s="164"/>
      <c r="G604" s="165"/>
    </row>
    <row r="605" spans="1:7" s="43" customFormat="1" x14ac:dyDescent="0.25">
      <c r="A605" s="170"/>
      <c r="B605" s="170"/>
      <c r="C605" s="170"/>
      <c r="D605" s="170"/>
      <c r="E605" s="163"/>
      <c r="F605" s="164"/>
      <c r="G605" s="165"/>
    </row>
    <row r="606" spans="1:7" s="43" customFormat="1" x14ac:dyDescent="0.25">
      <c r="A606" s="170"/>
      <c r="B606" s="170"/>
      <c r="C606" s="170"/>
      <c r="D606" s="170"/>
      <c r="E606" s="163"/>
      <c r="F606" s="164"/>
      <c r="G606" s="165"/>
    </row>
    <row r="607" spans="1:7" s="43" customFormat="1" x14ac:dyDescent="0.25">
      <c r="A607" s="170"/>
      <c r="B607" s="170"/>
      <c r="C607" s="170"/>
      <c r="D607" s="170"/>
      <c r="E607" s="163"/>
      <c r="F607" s="164"/>
      <c r="G607" s="165"/>
    </row>
    <row r="608" spans="1:7" s="43" customFormat="1" x14ac:dyDescent="0.25">
      <c r="A608" s="170"/>
      <c r="B608" s="170"/>
      <c r="C608" s="170"/>
      <c r="D608" s="170"/>
      <c r="E608" s="169"/>
      <c r="F608" s="167"/>
      <c r="G608" s="168"/>
    </row>
    <row r="609" spans="1:7" s="43" customFormat="1" x14ac:dyDescent="0.25">
      <c r="A609" s="170"/>
      <c r="B609" s="170"/>
      <c r="C609" s="170"/>
      <c r="D609" s="170"/>
      <c r="E609" s="169"/>
      <c r="F609" s="167"/>
      <c r="G609" s="168"/>
    </row>
    <row r="610" spans="1:7" s="43" customFormat="1" x14ac:dyDescent="0.25">
      <c r="A610" s="170"/>
      <c r="B610" s="170"/>
      <c r="C610" s="170"/>
      <c r="D610" s="170"/>
      <c r="E610" s="169"/>
      <c r="F610" s="167"/>
      <c r="G610" s="168"/>
    </row>
    <row r="611" spans="1:7" s="43" customFormat="1" x14ac:dyDescent="0.25">
      <c r="A611" s="170"/>
      <c r="B611" s="170"/>
      <c r="C611" s="170"/>
      <c r="D611" s="170"/>
      <c r="E611" s="169"/>
      <c r="F611" s="167"/>
      <c r="G611" s="168"/>
    </row>
    <row r="612" spans="1:7" s="43" customFormat="1" x14ac:dyDescent="0.25">
      <c r="A612" s="170"/>
      <c r="B612" s="170"/>
      <c r="C612" s="170"/>
      <c r="D612" s="170"/>
      <c r="E612" s="169"/>
      <c r="F612" s="167"/>
      <c r="G612" s="168"/>
    </row>
    <row r="613" spans="1:7" s="43" customFormat="1" x14ac:dyDescent="0.25">
      <c r="A613" s="170"/>
      <c r="B613" s="170"/>
      <c r="C613" s="170"/>
      <c r="D613" s="170"/>
      <c r="E613" s="185"/>
      <c r="F613" s="185"/>
      <c r="G613" s="185"/>
    </row>
    <row r="614" spans="1:7" ht="30" x14ac:dyDescent="0.25">
      <c r="A614" s="170" t="s">
        <v>619</v>
      </c>
      <c r="B614" s="170" t="s">
        <v>634</v>
      </c>
      <c r="C614" s="170" t="s">
        <v>191</v>
      </c>
      <c r="D614" s="170"/>
    </row>
    <row r="615" spans="1:7" s="43" customFormat="1" x14ac:dyDescent="0.25">
      <c r="A615" s="170"/>
      <c r="B615" s="170"/>
      <c r="C615" s="170"/>
      <c r="D615" s="170"/>
      <c r="E615" s="163"/>
      <c r="F615" s="164"/>
      <c r="G615" s="165"/>
    </row>
    <row r="616" spans="1:7" s="43" customFormat="1" x14ac:dyDescent="0.25">
      <c r="A616" s="170"/>
      <c r="B616" s="170"/>
      <c r="C616" s="170"/>
      <c r="D616" s="170"/>
      <c r="E616" s="163"/>
      <c r="F616" s="164"/>
      <c r="G616" s="165"/>
    </row>
    <row r="617" spans="1:7" s="43" customFormat="1" x14ac:dyDescent="0.25">
      <c r="A617" s="170"/>
      <c r="B617" s="170"/>
      <c r="C617" s="170"/>
      <c r="D617" s="170"/>
      <c r="E617" s="163"/>
      <c r="F617" s="164"/>
      <c r="G617" s="165"/>
    </row>
    <row r="618" spans="1:7" s="43" customFormat="1" x14ac:dyDescent="0.25">
      <c r="A618" s="170"/>
      <c r="B618" s="170"/>
      <c r="C618" s="170"/>
      <c r="D618" s="170"/>
      <c r="E618" s="163"/>
      <c r="F618" s="164"/>
      <c r="G618" s="165"/>
    </row>
    <row r="619" spans="1:7" s="43" customFormat="1" x14ac:dyDescent="0.25">
      <c r="A619" s="170"/>
      <c r="B619" s="170"/>
      <c r="C619" s="170"/>
      <c r="D619" s="170"/>
      <c r="E619" s="163"/>
      <c r="F619" s="164"/>
      <c r="G619" s="165"/>
    </row>
    <row r="620" spans="1:7" s="43" customFormat="1" x14ac:dyDescent="0.25">
      <c r="A620" s="170"/>
      <c r="B620" s="170"/>
      <c r="C620" s="170"/>
      <c r="D620" s="170"/>
      <c r="E620" s="169"/>
      <c r="F620" s="167"/>
      <c r="G620" s="168"/>
    </row>
    <row r="621" spans="1:7" s="43" customFormat="1" x14ac:dyDescent="0.25">
      <c r="A621" s="170"/>
      <c r="B621" s="170"/>
      <c r="C621" s="170"/>
      <c r="D621" s="170"/>
      <c r="E621" s="169"/>
      <c r="F621" s="167"/>
      <c r="G621" s="168"/>
    </row>
    <row r="622" spans="1:7" s="43" customFormat="1" x14ac:dyDescent="0.25">
      <c r="A622" s="170"/>
      <c r="B622" s="170"/>
      <c r="C622" s="170"/>
      <c r="D622" s="170"/>
      <c r="E622" s="169"/>
      <c r="F622" s="167"/>
      <c r="G622" s="168"/>
    </row>
    <row r="623" spans="1:7" s="43" customFormat="1" x14ac:dyDescent="0.25">
      <c r="A623" s="170"/>
      <c r="B623" s="170"/>
      <c r="C623" s="170"/>
      <c r="D623" s="170"/>
      <c r="E623" s="169"/>
      <c r="F623" s="167"/>
      <c r="G623" s="168"/>
    </row>
    <row r="624" spans="1:7" s="43" customFormat="1" x14ac:dyDescent="0.25">
      <c r="A624" s="170"/>
      <c r="B624" s="170"/>
      <c r="C624" s="170"/>
      <c r="D624" s="170"/>
      <c r="E624" s="169"/>
      <c r="F624" s="167"/>
      <c r="G624" s="168"/>
    </row>
    <row r="625" spans="1:7" s="43" customFormat="1" x14ac:dyDescent="0.25">
      <c r="A625" s="170"/>
      <c r="B625" s="170"/>
      <c r="C625" s="170"/>
      <c r="D625" s="170"/>
      <c r="E625" s="185"/>
      <c r="F625" s="185"/>
      <c r="G625" s="185"/>
    </row>
    <row r="626" spans="1:7" ht="30" x14ac:dyDescent="0.25">
      <c r="A626" s="170" t="s">
        <v>620</v>
      </c>
      <c r="B626" s="170" t="s">
        <v>639</v>
      </c>
      <c r="C626" s="170" t="s">
        <v>636</v>
      </c>
      <c r="D626" s="170"/>
    </row>
    <row r="627" spans="1:7" s="43" customFormat="1" x14ac:dyDescent="0.25">
      <c r="A627" s="170"/>
      <c r="B627" s="170"/>
      <c r="C627" s="170"/>
      <c r="D627" s="170"/>
      <c r="E627" s="163"/>
      <c r="F627" s="164"/>
      <c r="G627" s="165"/>
    </row>
    <row r="628" spans="1:7" s="43" customFormat="1" x14ac:dyDescent="0.25">
      <c r="A628" s="170"/>
      <c r="B628" s="170"/>
      <c r="C628" s="170"/>
      <c r="D628" s="170"/>
      <c r="E628" s="163"/>
      <c r="F628" s="164"/>
      <c r="G628" s="165"/>
    </row>
    <row r="629" spans="1:7" s="43" customFormat="1" x14ac:dyDescent="0.25">
      <c r="A629" s="170"/>
      <c r="B629" s="170"/>
      <c r="C629" s="170"/>
      <c r="D629" s="170"/>
      <c r="E629" s="163"/>
      <c r="F629" s="164"/>
      <c r="G629" s="165"/>
    </row>
    <row r="630" spans="1:7" s="43" customFormat="1" x14ac:dyDescent="0.25">
      <c r="A630" s="170"/>
      <c r="B630" s="170"/>
      <c r="C630" s="170"/>
      <c r="D630" s="170"/>
      <c r="E630" s="163"/>
      <c r="F630" s="164"/>
      <c r="G630" s="165"/>
    </row>
    <row r="631" spans="1:7" s="43" customFormat="1" x14ac:dyDescent="0.25">
      <c r="A631" s="170"/>
      <c r="B631" s="170"/>
      <c r="C631" s="170"/>
      <c r="D631" s="170"/>
      <c r="E631" s="163"/>
      <c r="F631" s="164"/>
      <c r="G631" s="165"/>
    </row>
    <row r="632" spans="1:7" s="43" customFormat="1" x14ac:dyDescent="0.25">
      <c r="A632" s="170"/>
      <c r="B632" s="170"/>
      <c r="C632" s="170"/>
      <c r="D632" s="170"/>
      <c r="E632" s="169"/>
      <c r="F632" s="167"/>
      <c r="G632" s="168"/>
    </row>
    <row r="633" spans="1:7" s="43" customFormat="1" x14ac:dyDescent="0.25">
      <c r="A633" s="170"/>
      <c r="B633" s="170"/>
      <c r="C633" s="170"/>
      <c r="D633" s="170"/>
      <c r="E633" s="169"/>
      <c r="F633" s="167"/>
      <c r="G633" s="168"/>
    </row>
    <row r="634" spans="1:7" s="43" customFormat="1" x14ac:dyDescent="0.25">
      <c r="A634" s="170"/>
      <c r="B634" s="170"/>
      <c r="C634" s="170"/>
      <c r="D634" s="170"/>
      <c r="E634" s="169"/>
      <c r="F634" s="167"/>
      <c r="G634" s="168"/>
    </row>
    <row r="635" spans="1:7" s="43" customFormat="1" x14ac:dyDescent="0.25">
      <c r="A635" s="170"/>
      <c r="B635" s="170"/>
      <c r="C635" s="170"/>
      <c r="D635" s="170"/>
      <c r="E635" s="169"/>
      <c r="F635" s="167"/>
      <c r="G635" s="168"/>
    </row>
    <row r="636" spans="1:7" s="43" customFormat="1" x14ac:dyDescent="0.25">
      <c r="A636" s="170"/>
      <c r="B636" s="170"/>
      <c r="C636" s="170"/>
      <c r="D636" s="170"/>
      <c r="E636" s="169"/>
      <c r="F636" s="167"/>
      <c r="G636" s="168"/>
    </row>
    <row r="637" spans="1:7" s="43" customFormat="1" x14ac:dyDescent="0.25">
      <c r="A637" s="170"/>
      <c r="B637" s="170"/>
      <c r="C637" s="170"/>
      <c r="D637" s="170"/>
      <c r="E637" s="185"/>
      <c r="F637" s="185"/>
      <c r="G637" s="185"/>
    </row>
    <row r="638" spans="1:7" ht="45" x14ac:dyDescent="0.25">
      <c r="A638" s="170" t="s">
        <v>643</v>
      </c>
      <c r="B638" s="170" t="s">
        <v>648</v>
      </c>
      <c r="C638" s="170" t="s">
        <v>645</v>
      </c>
      <c r="D638" s="170"/>
    </row>
    <row r="639" spans="1:7" s="43" customFormat="1" x14ac:dyDescent="0.25">
      <c r="A639" s="170"/>
      <c r="B639" s="170"/>
      <c r="C639" s="170"/>
      <c r="D639" s="170"/>
      <c r="E639" s="163"/>
      <c r="F639" s="164"/>
      <c r="G639" s="165"/>
    </row>
    <row r="640" spans="1:7" s="43" customFormat="1" x14ac:dyDescent="0.25">
      <c r="A640" s="170"/>
      <c r="B640" s="170"/>
      <c r="C640" s="170"/>
      <c r="D640" s="170"/>
      <c r="E640" s="163"/>
      <c r="F640" s="164"/>
      <c r="G640" s="165"/>
    </row>
    <row r="641" spans="1:8" s="43" customFormat="1" x14ac:dyDescent="0.25">
      <c r="A641" s="170"/>
      <c r="B641" s="170"/>
      <c r="C641" s="170"/>
      <c r="D641" s="170"/>
      <c r="E641" s="163"/>
      <c r="F641" s="164"/>
      <c r="G641" s="165"/>
    </row>
    <row r="642" spans="1:8" s="43" customFormat="1" x14ac:dyDescent="0.25">
      <c r="A642" s="170"/>
      <c r="B642" s="170"/>
      <c r="C642" s="170"/>
      <c r="D642" s="170"/>
      <c r="E642" s="163"/>
      <c r="F642" s="164"/>
      <c r="G642" s="165"/>
    </row>
    <row r="643" spans="1:8" s="43" customFormat="1" x14ac:dyDescent="0.25">
      <c r="A643" s="170"/>
      <c r="B643" s="170"/>
      <c r="C643" s="170"/>
      <c r="D643" s="170"/>
      <c r="E643" s="163"/>
      <c r="F643" s="164"/>
      <c r="G643" s="165"/>
    </row>
    <row r="644" spans="1:8" s="43" customFormat="1" x14ac:dyDescent="0.25">
      <c r="A644" s="170"/>
      <c r="B644" s="170"/>
      <c r="C644" s="170"/>
      <c r="D644" s="170"/>
      <c r="E644" s="169"/>
      <c r="F644" s="167"/>
      <c r="G644" s="168"/>
    </row>
    <row r="645" spans="1:8" s="43" customFormat="1" x14ac:dyDescent="0.25">
      <c r="A645" s="170"/>
      <c r="B645" s="170"/>
      <c r="C645" s="170"/>
      <c r="D645" s="170"/>
      <c r="E645" s="169"/>
      <c r="F645" s="167"/>
      <c r="G645" s="168"/>
    </row>
    <row r="646" spans="1:8" s="43" customFormat="1" x14ac:dyDescent="0.25">
      <c r="A646" s="170"/>
      <c r="B646" s="170"/>
      <c r="C646" s="170"/>
      <c r="D646" s="170"/>
      <c r="E646" s="169"/>
      <c r="F646" s="167"/>
      <c r="G646" s="168"/>
    </row>
    <row r="647" spans="1:8" s="43" customFormat="1" x14ac:dyDescent="0.25">
      <c r="A647" s="170"/>
      <c r="B647" s="170"/>
      <c r="C647" s="170"/>
      <c r="D647" s="170"/>
      <c r="E647" s="169"/>
      <c r="F647" s="167"/>
      <c r="G647" s="168"/>
    </row>
    <row r="648" spans="1:8" s="43" customFormat="1" x14ac:dyDescent="0.25">
      <c r="A648" s="170"/>
      <c r="B648" s="170"/>
      <c r="C648" s="170"/>
      <c r="D648" s="170"/>
      <c r="E648" s="169"/>
      <c r="F648" s="167"/>
      <c r="G648" s="168"/>
    </row>
    <row r="649" spans="1:8" s="191" customFormat="1" x14ac:dyDescent="0.25">
      <c r="A649" s="173"/>
      <c r="B649" s="173"/>
      <c r="C649" s="173"/>
      <c r="D649" s="173"/>
      <c r="E649" s="173">
        <v>2014</v>
      </c>
      <c r="F649" s="173">
        <v>2015</v>
      </c>
      <c r="G649" s="173">
        <v>2016</v>
      </c>
    </row>
    <row r="650" spans="1:8" s="191" customFormat="1" ht="45" x14ac:dyDescent="0.25">
      <c r="A650" s="173" t="s">
        <v>801</v>
      </c>
      <c r="B650" s="173" t="s">
        <v>800</v>
      </c>
      <c r="C650" s="173" t="s">
        <v>645</v>
      </c>
      <c r="D650" s="173"/>
      <c r="E650" s="191">
        <v>4.54</v>
      </c>
      <c r="F650" s="191">
        <v>4.5</v>
      </c>
      <c r="G650" s="191">
        <v>4.46</v>
      </c>
      <c r="H650" s="176" t="s">
        <v>803</v>
      </c>
    </row>
    <row r="651" spans="1:8" s="191" customFormat="1" x14ac:dyDescent="0.25">
      <c r="A651" s="173"/>
      <c r="B651" s="173"/>
      <c r="C651" s="173"/>
      <c r="D651" s="173" t="s">
        <v>796</v>
      </c>
      <c r="E651" s="163">
        <v>15.86</v>
      </c>
      <c r="F651" s="164">
        <v>15.38</v>
      </c>
      <c r="G651" s="165">
        <v>15.02</v>
      </c>
    </row>
    <row r="652" spans="1:8" s="191" customFormat="1" x14ac:dyDescent="0.25">
      <c r="A652" s="173"/>
      <c r="B652" s="173"/>
      <c r="C652" s="173"/>
      <c r="D652" s="173" t="s">
        <v>799</v>
      </c>
      <c r="E652" s="163">
        <v>9.26</v>
      </c>
      <c r="F652" s="164">
        <v>9.14</v>
      </c>
      <c r="G652" s="165">
        <v>9.0399999999999991</v>
      </c>
    </row>
    <row r="653" spans="1:8" s="191" customFormat="1" x14ac:dyDescent="0.25">
      <c r="A653" s="173"/>
      <c r="B653" s="173"/>
      <c r="C653" s="173"/>
      <c r="D653" s="173" t="s">
        <v>797</v>
      </c>
      <c r="E653" s="163">
        <v>5.42</v>
      </c>
      <c r="F653" s="164">
        <v>5.52</v>
      </c>
      <c r="G653" s="165">
        <v>5.52</v>
      </c>
    </row>
    <row r="654" spans="1:8" s="191" customFormat="1" x14ac:dyDescent="0.25">
      <c r="A654" s="173"/>
      <c r="B654" s="173"/>
      <c r="C654" s="173"/>
      <c r="D654" s="173" t="s">
        <v>795</v>
      </c>
      <c r="E654" s="163">
        <v>4.43</v>
      </c>
      <c r="F654" s="164">
        <v>4.37</v>
      </c>
      <c r="G654" s="165">
        <v>4.32</v>
      </c>
    </row>
    <row r="655" spans="1:8" s="191" customFormat="1" x14ac:dyDescent="0.25">
      <c r="A655" s="173"/>
      <c r="B655" s="173"/>
      <c r="C655" s="173"/>
      <c r="D655" s="173" t="s">
        <v>794</v>
      </c>
      <c r="E655" s="163">
        <v>2.91</v>
      </c>
      <c r="F655" s="164">
        <v>2.89</v>
      </c>
      <c r="G655" s="165">
        <v>2.86</v>
      </c>
    </row>
    <row r="656" spans="1:8" s="191" customFormat="1" ht="15" customHeight="1" x14ac:dyDescent="0.25">
      <c r="A656" s="173"/>
      <c r="B656" s="173"/>
      <c r="C656" s="173"/>
      <c r="D656" s="173" t="s">
        <v>789</v>
      </c>
      <c r="E656" s="169">
        <v>2.77</v>
      </c>
      <c r="F656" s="167">
        <v>1.43</v>
      </c>
      <c r="G656" s="168">
        <v>1.39</v>
      </c>
    </row>
    <row r="657" spans="1:8" s="191" customFormat="1" x14ac:dyDescent="0.25">
      <c r="A657" s="173"/>
      <c r="B657" s="173"/>
      <c r="C657" s="173"/>
      <c r="D657" s="173" t="s">
        <v>793</v>
      </c>
      <c r="E657" s="169">
        <v>1.31</v>
      </c>
      <c r="F657" s="167">
        <v>1.31</v>
      </c>
      <c r="G657" s="168">
        <v>1.32</v>
      </c>
    </row>
    <row r="658" spans="1:8" s="191" customFormat="1" ht="15" customHeight="1" x14ac:dyDescent="0.25">
      <c r="A658" s="173"/>
      <c r="B658" s="173"/>
      <c r="C658" s="173"/>
      <c r="D658" s="173" t="s">
        <v>791</v>
      </c>
      <c r="E658" s="169">
        <v>0.82</v>
      </c>
      <c r="F658" s="167">
        <v>0.83</v>
      </c>
      <c r="G658" s="168">
        <v>0.82</v>
      </c>
    </row>
    <row r="659" spans="1:8" s="191" customFormat="1" x14ac:dyDescent="0.25">
      <c r="A659" s="173"/>
      <c r="B659" s="173"/>
      <c r="C659" s="173"/>
      <c r="D659" s="173" t="s">
        <v>790</v>
      </c>
      <c r="E659" s="169">
        <v>0.39</v>
      </c>
      <c r="F659" s="167">
        <v>0.37</v>
      </c>
      <c r="G659" s="168">
        <v>0.25</v>
      </c>
    </row>
    <row r="660" spans="1:8" s="191" customFormat="1" ht="15" customHeight="1" x14ac:dyDescent="0.25">
      <c r="A660" s="173"/>
      <c r="B660" s="173"/>
      <c r="C660" s="173"/>
      <c r="D660" s="173" t="s">
        <v>798</v>
      </c>
      <c r="E660" s="169">
        <v>0.15</v>
      </c>
      <c r="F660" s="167">
        <v>0.16</v>
      </c>
      <c r="G660" s="168">
        <v>0.11</v>
      </c>
    </row>
    <row r="661" spans="1:8" s="43" customFormat="1" x14ac:dyDescent="0.25">
      <c r="A661" s="170"/>
      <c r="B661" s="170"/>
      <c r="C661" s="170"/>
      <c r="D661" s="170"/>
      <c r="E661" s="171">
        <v>2014</v>
      </c>
      <c r="F661" s="171">
        <v>2015</v>
      </c>
      <c r="G661" s="171">
        <v>2016</v>
      </c>
    </row>
    <row r="662" spans="1:8" ht="45" x14ac:dyDescent="0.25">
      <c r="A662" s="170" t="s">
        <v>621</v>
      </c>
      <c r="B662" s="170" t="s">
        <v>657</v>
      </c>
      <c r="C662" s="170" t="s">
        <v>645</v>
      </c>
      <c r="D662" s="170"/>
      <c r="E662" s="171">
        <v>4.4000000000000004</v>
      </c>
      <c r="F662" s="171">
        <v>4.3</v>
      </c>
      <c r="G662" s="171">
        <v>4.3</v>
      </c>
      <c r="H662" s="176" t="s">
        <v>750</v>
      </c>
    </row>
    <row r="663" spans="1:8" s="43" customFormat="1" x14ac:dyDescent="0.25">
      <c r="A663" s="170"/>
      <c r="B663" s="170"/>
      <c r="C663" s="170"/>
      <c r="D663" s="173" t="s">
        <v>740</v>
      </c>
      <c r="E663" s="163">
        <v>31.1</v>
      </c>
      <c r="F663" s="164">
        <v>30.3</v>
      </c>
      <c r="G663" s="165">
        <v>29.8</v>
      </c>
    </row>
    <row r="664" spans="1:8" s="43" customFormat="1" x14ac:dyDescent="0.25">
      <c r="A664" s="170"/>
      <c r="B664" s="170"/>
      <c r="C664" s="170"/>
      <c r="D664" s="173" t="s">
        <v>751</v>
      </c>
      <c r="E664" s="163">
        <v>22.1</v>
      </c>
      <c r="F664" s="164">
        <v>23.6</v>
      </c>
      <c r="G664" s="165">
        <v>22.8</v>
      </c>
    </row>
    <row r="665" spans="1:8" s="43" customFormat="1" x14ac:dyDescent="0.25">
      <c r="A665" s="170"/>
      <c r="B665" s="170"/>
      <c r="C665" s="170"/>
      <c r="D665" s="173" t="s">
        <v>752</v>
      </c>
      <c r="E665" s="163">
        <v>19.100000000000001</v>
      </c>
      <c r="F665" s="164">
        <v>20.100000000000001</v>
      </c>
      <c r="G665" s="165">
        <v>20.5</v>
      </c>
    </row>
    <row r="666" spans="1:8" s="43" customFormat="1" x14ac:dyDescent="0.25">
      <c r="A666" s="170"/>
      <c r="B666" s="170"/>
      <c r="C666" s="170"/>
      <c r="D666" s="173" t="s">
        <v>741</v>
      </c>
      <c r="E666" s="163">
        <v>16.399999999999999</v>
      </c>
      <c r="F666" s="164">
        <v>16.8</v>
      </c>
      <c r="G666" s="165">
        <v>16.3</v>
      </c>
    </row>
    <row r="667" spans="1:8" s="43" customFormat="1" x14ac:dyDescent="0.25">
      <c r="A667" s="170"/>
      <c r="B667" s="170"/>
      <c r="C667" s="170"/>
      <c r="D667" s="173" t="s">
        <v>753</v>
      </c>
      <c r="E667" s="163">
        <v>15.8</v>
      </c>
      <c r="F667" s="164">
        <v>15.8</v>
      </c>
      <c r="G667" s="165">
        <v>16.2</v>
      </c>
    </row>
    <row r="668" spans="1:8" s="43" customFormat="1" x14ac:dyDescent="0.25">
      <c r="A668" s="170"/>
      <c r="B668" s="170"/>
      <c r="C668" s="170"/>
      <c r="D668" s="173" t="s">
        <v>746</v>
      </c>
      <c r="E668" s="169">
        <v>0.3</v>
      </c>
      <c r="F668" s="167">
        <v>0.3</v>
      </c>
      <c r="G668" s="168">
        <v>0.3</v>
      </c>
    </row>
    <row r="669" spans="1:8" s="43" customFormat="1" x14ac:dyDescent="0.25">
      <c r="A669" s="170"/>
      <c r="B669" s="170"/>
      <c r="C669" s="170"/>
      <c r="D669" s="173" t="s">
        <v>754</v>
      </c>
      <c r="E669" s="169">
        <v>0.7</v>
      </c>
      <c r="F669" s="167">
        <v>0.8</v>
      </c>
      <c r="G669" s="168">
        <v>0.8</v>
      </c>
    </row>
    <row r="670" spans="1:8" s="43" customFormat="1" x14ac:dyDescent="0.25">
      <c r="A670" s="170"/>
      <c r="B670" s="170"/>
      <c r="C670" s="170"/>
      <c r="D670" s="173" t="s">
        <v>755</v>
      </c>
      <c r="E670" s="169">
        <v>1.5</v>
      </c>
      <c r="F670" s="167">
        <v>1.7</v>
      </c>
      <c r="G670" s="168">
        <v>1.5</v>
      </c>
    </row>
    <row r="671" spans="1:8" s="43" customFormat="1" x14ac:dyDescent="0.25">
      <c r="A671" s="170"/>
      <c r="B671" s="170"/>
      <c r="C671" s="170"/>
      <c r="D671" s="173" t="s">
        <v>756</v>
      </c>
      <c r="E671" s="169">
        <v>1.6</v>
      </c>
      <c r="F671" s="167">
        <v>1.5</v>
      </c>
      <c r="G671" s="168">
        <v>1.6</v>
      </c>
    </row>
    <row r="672" spans="1:8" s="43" customFormat="1" x14ac:dyDescent="0.25">
      <c r="A672" s="170"/>
      <c r="B672" s="170"/>
      <c r="C672" s="170"/>
      <c r="D672" s="173" t="s">
        <v>757</v>
      </c>
      <c r="E672" s="169">
        <v>1.8</v>
      </c>
      <c r="F672" s="167">
        <v>1.8</v>
      </c>
      <c r="G672" s="168">
        <v>1.7</v>
      </c>
    </row>
    <row r="673" spans="1:8" s="43" customFormat="1" x14ac:dyDescent="0.25">
      <c r="A673" s="170"/>
      <c r="B673" s="170"/>
      <c r="C673" s="170"/>
      <c r="D673" s="170"/>
      <c r="E673" s="185"/>
      <c r="F673" s="185"/>
      <c r="G673" s="185">
        <v>2011</v>
      </c>
    </row>
    <row r="674" spans="1:8" x14ac:dyDescent="0.25">
      <c r="A674" s="170" t="s">
        <v>622</v>
      </c>
      <c r="B674" s="170" t="s">
        <v>505</v>
      </c>
      <c r="C674" s="170" t="s">
        <v>498</v>
      </c>
      <c r="D674" s="170"/>
      <c r="G674" s="171">
        <v>2.83</v>
      </c>
      <c r="H674" s="176" t="s">
        <v>875</v>
      </c>
    </row>
    <row r="675" spans="1:8" s="43" customFormat="1" x14ac:dyDescent="0.25">
      <c r="A675" s="170"/>
      <c r="B675" s="170"/>
      <c r="C675" s="170"/>
      <c r="D675" s="170"/>
      <c r="E675" s="163"/>
      <c r="F675" s="164"/>
      <c r="G675" s="165"/>
      <c r="H675" s="192" t="s">
        <v>876</v>
      </c>
    </row>
    <row r="676" spans="1:8" x14ac:dyDescent="0.25">
      <c r="A676" s="170" t="s">
        <v>623</v>
      </c>
      <c r="B676" s="170" t="s">
        <v>658</v>
      </c>
      <c r="C676" s="170" t="s">
        <v>498</v>
      </c>
      <c r="D676" s="170"/>
      <c r="G676" s="171">
        <v>1.82</v>
      </c>
      <c r="H676" s="176" t="s">
        <v>875</v>
      </c>
    </row>
    <row r="677" spans="1:8" s="43" customFormat="1" x14ac:dyDescent="0.25">
      <c r="A677" s="170"/>
      <c r="B677" s="170"/>
      <c r="C677" s="170"/>
      <c r="D677" s="170"/>
      <c r="E677" s="163"/>
      <c r="F677" s="164"/>
      <c r="G677" s="165"/>
      <c r="H677" s="192" t="s">
        <v>876</v>
      </c>
    </row>
    <row r="678" spans="1:8" s="43" customFormat="1" x14ac:dyDescent="0.25">
      <c r="A678" s="170"/>
      <c r="B678" s="170"/>
      <c r="C678" s="170"/>
      <c r="D678" s="170"/>
      <c r="E678" s="185">
        <v>2016</v>
      </c>
      <c r="F678" s="185">
        <v>2017</v>
      </c>
      <c r="G678" s="185">
        <v>2018</v>
      </c>
    </row>
    <row r="679" spans="1:8" ht="30" x14ac:dyDescent="0.25">
      <c r="A679" s="170" t="s">
        <v>624</v>
      </c>
      <c r="B679" s="170" t="s">
        <v>659</v>
      </c>
      <c r="C679" s="170" t="s">
        <v>499</v>
      </c>
      <c r="D679" s="170"/>
      <c r="E679" s="171">
        <v>0.99</v>
      </c>
      <c r="F679" s="171">
        <v>0.9</v>
      </c>
      <c r="G679" s="171">
        <v>0.82</v>
      </c>
      <c r="H679" s="176" t="s">
        <v>870</v>
      </c>
    </row>
    <row r="680" spans="1:8" s="43" customFormat="1" x14ac:dyDescent="0.25">
      <c r="A680" s="170"/>
      <c r="B680" s="170"/>
      <c r="C680" s="170"/>
      <c r="D680" s="170"/>
      <c r="E680" s="169"/>
      <c r="F680" s="167"/>
      <c r="G680" s="168"/>
      <c r="H680" s="43" t="s">
        <v>871</v>
      </c>
    </row>
    <row r="681" spans="1:8" s="43" customFormat="1" x14ac:dyDescent="0.25">
      <c r="A681" s="170"/>
      <c r="B681" s="170"/>
      <c r="C681" s="170"/>
      <c r="D681" s="170"/>
      <c r="E681" s="185">
        <v>2014</v>
      </c>
      <c r="F681" s="185">
        <v>2015</v>
      </c>
      <c r="G681" s="185">
        <v>2016</v>
      </c>
    </row>
    <row r="682" spans="1:8" x14ac:dyDescent="0.25">
      <c r="A682" s="170" t="s">
        <v>879</v>
      </c>
      <c r="B682" s="170" t="s">
        <v>881</v>
      </c>
      <c r="C682" s="170" t="s">
        <v>473</v>
      </c>
      <c r="D682" s="170"/>
      <c r="E682" s="171">
        <v>30.769568040539401</v>
      </c>
      <c r="F682" s="171">
        <v>30.744264405397601</v>
      </c>
      <c r="G682" s="171">
        <v>30.716420940782999</v>
      </c>
      <c r="H682" s="176" t="s">
        <v>687</v>
      </c>
    </row>
    <row r="683" spans="1:8" s="43" customFormat="1" x14ac:dyDescent="0.25">
      <c r="A683" s="170"/>
      <c r="B683" s="170"/>
      <c r="C683" s="170"/>
      <c r="D683" s="170" t="s">
        <v>668</v>
      </c>
      <c r="E683" s="163">
        <v>74.110764433268599</v>
      </c>
      <c r="F683" s="164">
        <v>74.104579781831006</v>
      </c>
      <c r="G683" s="165">
        <v>74.098395130393499</v>
      </c>
    </row>
    <row r="684" spans="1:8" s="43" customFormat="1" x14ac:dyDescent="0.25">
      <c r="A684" s="170"/>
      <c r="B684" s="170"/>
      <c r="C684" s="170"/>
      <c r="D684" s="170" t="s">
        <v>669</v>
      </c>
      <c r="E684" s="163">
        <v>73.111981309026305</v>
      </c>
      <c r="F684" s="164">
        <v>73.107169885821506</v>
      </c>
      <c r="G684" s="165">
        <v>73.107169885821506</v>
      </c>
    </row>
    <row r="685" spans="1:8" s="43" customFormat="1" x14ac:dyDescent="0.25">
      <c r="A685" s="170"/>
      <c r="B685" s="170"/>
      <c r="C685" s="170"/>
      <c r="D685" s="170" t="s">
        <v>670</v>
      </c>
      <c r="E685" s="163">
        <v>72.015374896486705</v>
      </c>
      <c r="F685" s="164">
        <v>72.275624181636999</v>
      </c>
      <c r="G685" s="165">
        <v>72.484536714605994</v>
      </c>
    </row>
    <row r="686" spans="1:8" s="43" customFormat="1" x14ac:dyDescent="0.25">
      <c r="A686" s="170"/>
      <c r="B686" s="170"/>
      <c r="C686" s="170"/>
      <c r="D686" s="170" t="s">
        <v>671</v>
      </c>
      <c r="E686" s="163">
        <v>68.922933392256496</v>
      </c>
      <c r="F686" s="164">
        <v>68.922933392256496</v>
      </c>
      <c r="G686" s="165">
        <v>68.922933392256496</v>
      </c>
    </row>
    <row r="687" spans="1:8" s="43" customFormat="1" x14ac:dyDescent="0.25">
      <c r="A687" s="170"/>
      <c r="B687" s="170"/>
      <c r="C687" s="170"/>
      <c r="D687" s="170" t="s">
        <v>672</v>
      </c>
      <c r="E687" s="163">
        <v>67.511187889971097</v>
      </c>
      <c r="F687" s="164">
        <v>67.554405722112307</v>
      </c>
      <c r="G687" s="165">
        <v>67.597623554253502</v>
      </c>
    </row>
    <row r="688" spans="1:8" s="43" customFormat="1" x14ac:dyDescent="0.25">
      <c r="A688" s="170"/>
      <c r="B688" s="170"/>
      <c r="C688" s="170"/>
      <c r="D688" s="170" t="s">
        <v>673</v>
      </c>
      <c r="E688" s="169">
        <v>7.2730927244842994E-2</v>
      </c>
      <c r="F688" s="167">
        <v>7.3333668190265697E-2</v>
      </c>
      <c r="G688" s="168">
        <v>7.3936409135688497E-2</v>
      </c>
    </row>
    <row r="689" spans="1:7" s="43" customFormat="1" x14ac:dyDescent="0.25">
      <c r="A689" s="170"/>
      <c r="B689" s="170"/>
      <c r="C689" s="170"/>
      <c r="D689" s="170" t="s">
        <v>674</v>
      </c>
      <c r="E689" s="169">
        <v>0.123327687918433</v>
      </c>
      <c r="F689" s="167">
        <v>0.123327687918433</v>
      </c>
      <c r="G689" s="168">
        <v>0.123327687918433</v>
      </c>
    </row>
    <row r="690" spans="1:7" s="43" customFormat="1" x14ac:dyDescent="0.25">
      <c r="A690" s="170"/>
      <c r="B690" s="170"/>
      <c r="C690" s="170"/>
      <c r="D690" s="170" t="s">
        <v>675</v>
      </c>
      <c r="E690" s="169">
        <v>0.81805739686702195</v>
      </c>
      <c r="F690" s="167">
        <v>0.82124833105208805</v>
      </c>
      <c r="G690" s="168">
        <v>0.82443926523715405</v>
      </c>
    </row>
    <row r="691" spans="1:7" s="43" customFormat="1" x14ac:dyDescent="0.25">
      <c r="A691" s="170"/>
      <c r="B691" s="170"/>
      <c r="C691" s="170"/>
      <c r="D691" s="170" t="s">
        <v>676</v>
      </c>
      <c r="E691" s="169">
        <v>0.91134445757800597</v>
      </c>
      <c r="F691" s="167">
        <v>0.90155522223099405</v>
      </c>
      <c r="G691" s="168">
        <v>0.89176598688398201</v>
      </c>
    </row>
    <row r="692" spans="1:7" s="43" customFormat="1" x14ac:dyDescent="0.25">
      <c r="A692" s="170"/>
      <c r="B692" s="170"/>
      <c r="C692" s="170"/>
      <c r="D692" s="170" t="s">
        <v>677</v>
      </c>
      <c r="E692" s="169">
        <v>1.22569174352706</v>
      </c>
      <c r="F692" s="167">
        <v>1.22569174352706</v>
      </c>
      <c r="G692" s="168">
        <v>1.22569174352706</v>
      </c>
    </row>
    <row r="693" spans="1:7" s="43" customFormat="1" x14ac:dyDescent="0.25">
      <c r="A693" s="170"/>
      <c r="B693" s="170"/>
      <c r="C693" s="170"/>
      <c r="D693" s="170"/>
      <c r="E693" s="185"/>
      <c r="F693" s="185"/>
      <c r="G693" s="185"/>
    </row>
    <row r="694" spans="1:7" ht="30" x14ac:dyDescent="0.25">
      <c r="A694" s="162" t="s">
        <v>880</v>
      </c>
      <c r="B694" s="162" t="s">
        <v>902</v>
      </c>
      <c r="C694" s="162" t="s">
        <v>473</v>
      </c>
      <c r="D694" s="197"/>
      <c r="E694" s="185"/>
      <c r="F694" s="185"/>
      <c r="G694" s="185"/>
    </row>
    <row r="695" spans="1:7" s="243" customFormat="1" x14ac:dyDescent="0.25">
      <c r="A695" s="162"/>
      <c r="B695" s="162"/>
      <c r="C695" s="162"/>
      <c r="D695" s="197"/>
      <c r="E695" s="163"/>
      <c r="F695" s="164"/>
      <c r="G695" s="165"/>
    </row>
    <row r="696" spans="1:7" s="243" customFormat="1" x14ac:dyDescent="0.25">
      <c r="A696" s="162"/>
      <c r="B696" s="162"/>
      <c r="C696" s="162"/>
      <c r="D696" s="197"/>
      <c r="E696" s="163"/>
      <c r="F696" s="164"/>
      <c r="G696" s="165"/>
    </row>
    <row r="697" spans="1:7" s="243" customFormat="1" x14ac:dyDescent="0.25">
      <c r="A697" s="162"/>
      <c r="B697" s="162"/>
      <c r="C697" s="162"/>
      <c r="D697" s="197"/>
      <c r="E697" s="163"/>
      <c r="F697" s="164"/>
      <c r="G697" s="165"/>
    </row>
    <row r="698" spans="1:7" s="243" customFormat="1" x14ac:dyDescent="0.25">
      <c r="A698" s="162"/>
      <c r="B698" s="162"/>
      <c r="C698" s="162"/>
      <c r="D698" s="197"/>
      <c r="E698" s="163"/>
      <c r="F698" s="164"/>
      <c r="G698" s="165"/>
    </row>
    <row r="699" spans="1:7" s="243" customFormat="1" x14ac:dyDescent="0.25">
      <c r="A699" s="162"/>
      <c r="B699" s="162"/>
      <c r="C699" s="162"/>
      <c r="D699" s="197"/>
      <c r="E699" s="163"/>
      <c r="F699" s="164"/>
      <c r="G699" s="165"/>
    </row>
    <row r="700" spans="1:7" s="243" customFormat="1" x14ac:dyDescent="0.25">
      <c r="A700" s="162"/>
      <c r="B700" s="162"/>
      <c r="C700" s="162"/>
      <c r="D700" s="197"/>
      <c r="E700" s="169"/>
      <c r="F700" s="167"/>
      <c r="G700" s="168"/>
    </row>
    <row r="701" spans="1:7" s="243" customFormat="1" x14ac:dyDescent="0.25">
      <c r="A701" s="162"/>
      <c r="B701" s="162"/>
      <c r="C701" s="162"/>
      <c r="D701" s="197"/>
      <c r="E701" s="169"/>
      <c r="F701" s="167"/>
      <c r="G701" s="168"/>
    </row>
    <row r="702" spans="1:7" s="243" customFormat="1" x14ac:dyDescent="0.25">
      <c r="A702" s="162"/>
      <c r="B702" s="162"/>
      <c r="C702" s="162"/>
      <c r="D702" s="197"/>
      <c r="E702" s="169"/>
      <c r="F702" s="167"/>
      <c r="G702" s="168"/>
    </row>
    <row r="703" spans="1:7" s="243" customFormat="1" x14ac:dyDescent="0.25">
      <c r="A703" s="162"/>
      <c r="B703" s="162"/>
      <c r="C703" s="162"/>
      <c r="D703" s="197"/>
      <c r="E703" s="169"/>
      <c r="F703" s="167"/>
      <c r="G703" s="168"/>
    </row>
    <row r="704" spans="1:7" s="243" customFormat="1" x14ac:dyDescent="0.25">
      <c r="A704" s="162"/>
      <c r="B704" s="162"/>
      <c r="C704" s="162"/>
      <c r="D704" s="197"/>
      <c r="E704" s="169"/>
      <c r="F704" s="167"/>
      <c r="G704" s="168"/>
    </row>
    <row r="705" spans="1:8" s="243" customFormat="1" x14ac:dyDescent="0.25">
      <c r="A705" s="162"/>
      <c r="B705" s="162"/>
      <c r="C705" s="162"/>
      <c r="D705" s="197"/>
      <c r="E705" s="185"/>
      <c r="F705" s="185"/>
      <c r="G705" s="185"/>
    </row>
    <row r="706" spans="1:8" s="43" customFormat="1" ht="30" x14ac:dyDescent="0.25">
      <c r="A706" s="162" t="s">
        <v>878</v>
      </c>
      <c r="B706" s="162" t="s">
        <v>877</v>
      </c>
      <c r="C706" s="162" t="s">
        <v>473</v>
      </c>
      <c r="D706" s="197"/>
      <c r="E706" s="185"/>
      <c r="F706" s="185"/>
      <c r="G706" s="185"/>
    </row>
    <row r="707" spans="1:8" s="243" customFormat="1" x14ac:dyDescent="0.25">
      <c r="A707" s="162"/>
      <c r="B707" s="162"/>
      <c r="C707" s="162"/>
      <c r="D707" s="197"/>
      <c r="E707" s="163"/>
      <c r="F707" s="164"/>
      <c r="G707" s="165"/>
    </row>
    <row r="708" spans="1:8" s="243" customFormat="1" x14ac:dyDescent="0.25">
      <c r="A708" s="162"/>
      <c r="B708" s="162"/>
      <c r="C708" s="162"/>
      <c r="D708" s="197"/>
      <c r="E708" s="163"/>
      <c r="F708" s="164"/>
      <c r="G708" s="165"/>
    </row>
    <row r="709" spans="1:8" s="243" customFormat="1" x14ac:dyDescent="0.25">
      <c r="A709" s="162"/>
      <c r="B709" s="162"/>
      <c r="C709" s="162"/>
      <c r="D709" s="197"/>
      <c r="E709" s="163"/>
      <c r="F709" s="164"/>
      <c r="G709" s="165"/>
    </row>
    <row r="710" spans="1:8" s="243" customFormat="1" x14ac:dyDescent="0.25">
      <c r="A710" s="162"/>
      <c r="B710" s="162"/>
      <c r="C710" s="162"/>
      <c r="D710" s="197"/>
      <c r="E710" s="163"/>
      <c r="F710" s="164"/>
      <c r="G710" s="165"/>
    </row>
    <row r="711" spans="1:8" s="243" customFormat="1" x14ac:dyDescent="0.25">
      <c r="A711" s="162"/>
      <c r="B711" s="162"/>
      <c r="C711" s="162"/>
      <c r="D711" s="197"/>
      <c r="E711" s="163"/>
      <c r="F711" s="164"/>
      <c r="G711" s="165"/>
    </row>
    <row r="712" spans="1:8" s="243" customFormat="1" x14ac:dyDescent="0.25">
      <c r="A712" s="162"/>
      <c r="B712" s="162"/>
      <c r="C712" s="162"/>
      <c r="D712" s="197"/>
      <c r="E712" s="169"/>
      <c r="F712" s="167"/>
      <c r="G712" s="168"/>
    </row>
    <row r="713" spans="1:8" s="243" customFormat="1" x14ac:dyDescent="0.25">
      <c r="A713" s="162"/>
      <c r="B713" s="162"/>
      <c r="C713" s="162"/>
      <c r="D713" s="197"/>
      <c r="E713" s="169"/>
      <c r="F713" s="167"/>
      <c r="G713" s="168"/>
    </row>
    <row r="714" spans="1:8" s="243" customFormat="1" x14ac:dyDescent="0.25">
      <c r="A714" s="162"/>
      <c r="B714" s="162"/>
      <c r="C714" s="162"/>
      <c r="D714" s="197"/>
      <c r="E714" s="169"/>
      <c r="F714" s="167"/>
      <c r="G714" s="168"/>
    </row>
    <row r="715" spans="1:8" s="243" customFormat="1" x14ac:dyDescent="0.25">
      <c r="A715" s="162"/>
      <c r="B715" s="162"/>
      <c r="C715" s="162"/>
      <c r="D715" s="197"/>
      <c r="E715" s="169"/>
      <c r="F715" s="167"/>
      <c r="G715" s="168"/>
    </row>
    <row r="716" spans="1:8" s="243" customFormat="1" x14ac:dyDescent="0.25">
      <c r="A716" s="162"/>
      <c r="B716" s="162"/>
      <c r="C716" s="162"/>
      <c r="D716" s="197"/>
      <c r="E716" s="169"/>
      <c r="F716" s="167"/>
      <c r="G716" s="168"/>
    </row>
    <row r="717" spans="1:8" s="243" customFormat="1" x14ac:dyDescent="0.25">
      <c r="A717" s="162"/>
      <c r="B717" s="162"/>
      <c r="C717" s="162"/>
      <c r="D717" s="197"/>
      <c r="E717" s="185"/>
      <c r="F717" s="185"/>
      <c r="G717" s="185">
        <v>2000</v>
      </c>
    </row>
    <row r="718" spans="1:8" s="43" customFormat="1" x14ac:dyDescent="0.25">
      <c r="A718" s="162" t="s">
        <v>883</v>
      </c>
      <c r="B718" s="162" t="s">
        <v>884</v>
      </c>
      <c r="C718" s="162" t="s">
        <v>473</v>
      </c>
      <c r="D718" s="197"/>
      <c r="E718" s="185"/>
      <c r="F718" s="185"/>
      <c r="G718" s="185">
        <v>70</v>
      </c>
    </row>
    <row r="719" spans="1:8" s="243" customFormat="1" x14ac:dyDescent="0.25">
      <c r="A719" s="162"/>
      <c r="B719" s="162"/>
      <c r="C719" s="162"/>
      <c r="D719" s="197" t="s">
        <v>893</v>
      </c>
      <c r="E719" s="185"/>
      <c r="F719" s="185"/>
      <c r="G719" s="185">
        <v>87</v>
      </c>
      <c r="H719" s="243" t="s">
        <v>892</v>
      </c>
    </row>
    <row r="720" spans="1:8" s="243" customFormat="1" x14ac:dyDescent="0.25">
      <c r="A720" s="162"/>
      <c r="B720" s="162"/>
      <c r="C720" s="162"/>
      <c r="D720" s="197" t="s">
        <v>894</v>
      </c>
      <c r="E720" s="185"/>
      <c r="F720" s="185"/>
      <c r="G720" s="185">
        <v>78</v>
      </c>
      <c r="H720" s="176" t="s">
        <v>890</v>
      </c>
    </row>
    <row r="721" spans="1:8" s="243" customFormat="1" x14ac:dyDescent="0.25">
      <c r="A721" s="162"/>
      <c r="B721" s="162"/>
      <c r="C721" s="162"/>
      <c r="D721" s="199" t="s">
        <v>897</v>
      </c>
      <c r="E721" s="185"/>
      <c r="F721" s="185"/>
      <c r="G721" s="185">
        <v>76</v>
      </c>
      <c r="H721" s="176"/>
    </row>
    <row r="722" spans="1:8" s="243" customFormat="1" x14ac:dyDescent="0.25">
      <c r="A722" s="162"/>
      <c r="B722" s="162"/>
      <c r="C722" s="162"/>
      <c r="D722" s="199" t="s">
        <v>898</v>
      </c>
      <c r="E722" s="185"/>
      <c r="F722" s="185"/>
      <c r="G722" s="185">
        <v>76</v>
      </c>
      <c r="H722" s="198" t="s">
        <v>901</v>
      </c>
    </row>
    <row r="723" spans="1:8" s="243" customFormat="1" x14ac:dyDescent="0.25">
      <c r="A723" s="162"/>
      <c r="B723" s="162"/>
      <c r="C723" s="162"/>
      <c r="D723" s="197" t="s">
        <v>895</v>
      </c>
      <c r="E723" s="185"/>
      <c r="F723" s="185"/>
      <c r="G723" s="185">
        <v>75</v>
      </c>
      <c r="H723" s="243" t="s">
        <v>891</v>
      </c>
    </row>
    <row r="724" spans="1:8" s="243" customFormat="1" x14ac:dyDescent="0.25">
      <c r="A724" s="162"/>
      <c r="B724" s="162"/>
      <c r="C724" s="162"/>
      <c r="D724" s="197" t="s">
        <v>896</v>
      </c>
      <c r="E724" s="185"/>
      <c r="F724" s="185"/>
      <c r="G724" s="185">
        <v>73</v>
      </c>
    </row>
    <row r="725" spans="1:8" s="243" customFormat="1" x14ac:dyDescent="0.25">
      <c r="A725" s="162"/>
      <c r="B725" s="162"/>
      <c r="C725" s="162"/>
      <c r="D725" s="197" t="s">
        <v>899</v>
      </c>
      <c r="E725" s="185"/>
      <c r="F725" s="185"/>
      <c r="G725" s="185">
        <v>55</v>
      </c>
    </row>
    <row r="726" spans="1:8" s="243" customFormat="1" x14ac:dyDescent="0.25">
      <c r="A726" s="162"/>
      <c r="B726" s="162"/>
      <c r="C726" s="162"/>
      <c r="D726" s="197" t="s">
        <v>900</v>
      </c>
      <c r="E726" s="185"/>
      <c r="F726" s="185"/>
      <c r="G726" s="185">
        <v>45</v>
      </c>
    </row>
    <row r="727" spans="1:8" s="243" customFormat="1" x14ac:dyDescent="0.25">
      <c r="A727" s="162"/>
      <c r="B727" s="162"/>
      <c r="C727" s="162"/>
      <c r="D727" s="197"/>
      <c r="E727" s="185"/>
      <c r="F727" s="185"/>
      <c r="G727" s="185"/>
    </row>
    <row r="728" spans="1:8" s="243" customFormat="1" ht="30" x14ac:dyDescent="0.25">
      <c r="A728" s="162" t="s">
        <v>888</v>
      </c>
      <c r="B728" s="162" t="s">
        <v>885</v>
      </c>
      <c r="C728" s="162" t="s">
        <v>886</v>
      </c>
      <c r="D728" s="197"/>
      <c r="E728" s="185"/>
      <c r="F728" s="185"/>
      <c r="G728" s="185"/>
    </row>
    <row r="729" spans="1:8" s="43" customFormat="1" x14ac:dyDescent="0.25">
      <c r="A729" s="197"/>
      <c r="B729" s="197"/>
      <c r="C729" s="197"/>
      <c r="D729" s="197"/>
      <c r="E729" s="169"/>
      <c r="F729" s="167"/>
      <c r="G729" s="168"/>
    </row>
    <row r="730" spans="1:8" s="175" customFormat="1" x14ac:dyDescent="0.25"/>
    <row r="731" spans="1:8" s="175" customFormat="1" x14ac:dyDescent="0.25"/>
    <row r="732" spans="1:8" s="175" customFormat="1" x14ac:dyDescent="0.25"/>
    <row r="733" spans="1:8" s="175" customFormat="1" x14ac:dyDescent="0.25"/>
    <row r="734" spans="1:8" s="175" customFormat="1" x14ac:dyDescent="0.25"/>
    <row r="735" spans="1:8" s="175" customFormat="1" x14ac:dyDescent="0.25"/>
    <row r="736" spans="1:8" s="175" customFormat="1" x14ac:dyDescent="0.25"/>
    <row r="737" s="175" customFormat="1" x14ac:dyDescent="0.25"/>
    <row r="738" s="175" customFormat="1" x14ac:dyDescent="0.25"/>
    <row r="739" s="175" customFormat="1" x14ac:dyDescent="0.25"/>
    <row r="740" s="175" customFormat="1" x14ac:dyDescent="0.25"/>
    <row r="741" s="175" customFormat="1" x14ac:dyDescent="0.25"/>
    <row r="742" s="175" customFormat="1" x14ac:dyDescent="0.25"/>
    <row r="743" s="175" customFormat="1" x14ac:dyDescent="0.25"/>
    <row r="744" s="175" customFormat="1" x14ac:dyDescent="0.25"/>
    <row r="745" s="175" customFormat="1" x14ac:dyDescent="0.25"/>
    <row r="746" s="175" customFormat="1" x14ac:dyDescent="0.25"/>
    <row r="747" s="175" customFormat="1" x14ac:dyDescent="0.25"/>
    <row r="748" s="175" customFormat="1" x14ac:dyDescent="0.25"/>
    <row r="749" s="175" customFormat="1" x14ac:dyDescent="0.25"/>
    <row r="750" s="175" customFormat="1" x14ac:dyDescent="0.25"/>
    <row r="751" s="175" customFormat="1" x14ac:dyDescent="0.25"/>
    <row r="752" s="175" customFormat="1" x14ac:dyDescent="0.25"/>
    <row r="753" s="175" customFormat="1" x14ac:dyDescent="0.25"/>
    <row r="754" s="175" customFormat="1" x14ac:dyDescent="0.25"/>
    <row r="755" s="175" customFormat="1" x14ac:dyDescent="0.25"/>
    <row r="756" s="175" customFormat="1" x14ac:dyDescent="0.25"/>
    <row r="757" s="175" customFormat="1" x14ac:dyDescent="0.25"/>
    <row r="758" s="175" customFormat="1" x14ac:dyDescent="0.25"/>
    <row r="759" s="175" customFormat="1" x14ac:dyDescent="0.25"/>
    <row r="760" s="175" customFormat="1" x14ac:dyDescent="0.25"/>
    <row r="761" s="175" customFormat="1" x14ac:dyDescent="0.25"/>
    <row r="762" s="175" customFormat="1" x14ac:dyDescent="0.25"/>
    <row r="763" s="175" customFormat="1" x14ac:dyDescent="0.25"/>
    <row r="764" s="175" customFormat="1" x14ac:dyDescent="0.25"/>
    <row r="765" s="175" customFormat="1" x14ac:dyDescent="0.25"/>
    <row r="766" s="175" customFormat="1" x14ac:dyDescent="0.25"/>
    <row r="767" s="175" customFormat="1" x14ac:dyDescent="0.25"/>
    <row r="768" s="175" customFormat="1" x14ac:dyDescent="0.25"/>
    <row r="769" s="175" customFormat="1" x14ac:dyDescent="0.25"/>
    <row r="770" s="175" customFormat="1" x14ac:dyDescent="0.25"/>
    <row r="771" s="175" customFormat="1" x14ac:dyDescent="0.25"/>
    <row r="772" s="175" customFormat="1" x14ac:dyDescent="0.25"/>
    <row r="773" s="175" customFormat="1" x14ac:dyDescent="0.25"/>
    <row r="774" s="175" customFormat="1" x14ac:dyDescent="0.25"/>
    <row r="775" s="175" customFormat="1" x14ac:dyDescent="0.25"/>
    <row r="776" s="175" customFormat="1" x14ac:dyDescent="0.25"/>
    <row r="777" s="175" customFormat="1" x14ac:dyDescent="0.25"/>
    <row r="778" s="175" customFormat="1" x14ac:dyDescent="0.25"/>
    <row r="779" s="175" customFormat="1" x14ac:dyDescent="0.25"/>
    <row r="780" s="175" customFormat="1" x14ac:dyDescent="0.25"/>
    <row r="781" s="175" customFormat="1" x14ac:dyDescent="0.25"/>
    <row r="782" s="175" customFormat="1" x14ac:dyDescent="0.25"/>
    <row r="783" s="175" customFormat="1" x14ac:dyDescent="0.25"/>
    <row r="784" s="175" customFormat="1" x14ac:dyDescent="0.25"/>
    <row r="785" s="175" customFormat="1" x14ac:dyDescent="0.25"/>
    <row r="786" s="175" customFormat="1" x14ac:dyDescent="0.25"/>
    <row r="787" s="175" customFormat="1" x14ac:dyDescent="0.25"/>
    <row r="788" s="175" customFormat="1" x14ac:dyDescent="0.25"/>
    <row r="789" s="175" customFormat="1" x14ac:dyDescent="0.25"/>
    <row r="790" s="175" customFormat="1" x14ac:dyDescent="0.25"/>
    <row r="791" s="175" customFormat="1" x14ac:dyDescent="0.25"/>
    <row r="792" s="175" customFormat="1" x14ac:dyDescent="0.25"/>
    <row r="793" s="175" customFormat="1" x14ac:dyDescent="0.25"/>
    <row r="794" s="175" customFormat="1" x14ac:dyDescent="0.25"/>
    <row r="795" s="175" customFormat="1" x14ac:dyDescent="0.25"/>
    <row r="796" s="175" customFormat="1" x14ac:dyDescent="0.25"/>
    <row r="797" s="175" customFormat="1" x14ac:dyDescent="0.25"/>
    <row r="798" s="175" customFormat="1" x14ac:dyDescent="0.25"/>
    <row r="799" s="175" customFormat="1" x14ac:dyDescent="0.25"/>
    <row r="800" s="175" customFormat="1" x14ac:dyDescent="0.25"/>
    <row r="801" s="175" customFormat="1" x14ac:dyDescent="0.25"/>
    <row r="802" s="175" customFormat="1" x14ac:dyDescent="0.25"/>
    <row r="803" s="175" customFormat="1" x14ac:dyDescent="0.25"/>
    <row r="804" s="175" customFormat="1" x14ac:dyDescent="0.25"/>
    <row r="805" s="175" customFormat="1" x14ac:dyDescent="0.25"/>
    <row r="806" s="175" customFormat="1" x14ac:dyDescent="0.25"/>
    <row r="807" s="175" customFormat="1" x14ac:dyDescent="0.25"/>
    <row r="808" s="175" customFormat="1" x14ac:dyDescent="0.25"/>
    <row r="809" s="175" customFormat="1" x14ac:dyDescent="0.25"/>
    <row r="810" s="175" customFormat="1" x14ac:dyDescent="0.25"/>
    <row r="811" s="175" customFormat="1" x14ac:dyDescent="0.25"/>
    <row r="812" s="175" customFormat="1" x14ac:dyDescent="0.25"/>
    <row r="813" s="175" customFormat="1" x14ac:dyDescent="0.25"/>
    <row r="814" s="175" customFormat="1" x14ac:dyDescent="0.25"/>
    <row r="815" s="175" customFormat="1" x14ac:dyDescent="0.25"/>
    <row r="816" s="175" customFormat="1" x14ac:dyDescent="0.25"/>
    <row r="817" s="175" customFormat="1" x14ac:dyDescent="0.25"/>
    <row r="818" s="175" customFormat="1" x14ac:dyDescent="0.25"/>
    <row r="819" s="175" customFormat="1" x14ac:dyDescent="0.25"/>
    <row r="820" s="175" customFormat="1" x14ac:dyDescent="0.25"/>
    <row r="821" s="175" customFormat="1" x14ac:dyDescent="0.25"/>
    <row r="822" s="175" customFormat="1" x14ac:dyDescent="0.25"/>
    <row r="823" s="175" customFormat="1" x14ac:dyDescent="0.25"/>
    <row r="824" s="175" customFormat="1" x14ac:dyDescent="0.25"/>
    <row r="825" s="175" customFormat="1" x14ac:dyDescent="0.25"/>
    <row r="826" s="175" customFormat="1" x14ac:dyDescent="0.25"/>
    <row r="827" s="175" customFormat="1" x14ac:dyDescent="0.25"/>
    <row r="828" s="175" customFormat="1" x14ac:dyDescent="0.25"/>
    <row r="829" s="175" customFormat="1" x14ac:dyDescent="0.25"/>
    <row r="830" s="175" customFormat="1" x14ac:dyDescent="0.25"/>
    <row r="831" s="175" customFormat="1" x14ac:dyDescent="0.25"/>
    <row r="832" s="175" customFormat="1" x14ac:dyDescent="0.25"/>
    <row r="833" s="175" customFormat="1" x14ac:dyDescent="0.25"/>
    <row r="834" s="175" customFormat="1" x14ac:dyDescent="0.25"/>
    <row r="835" s="175" customFormat="1" x14ac:dyDescent="0.25"/>
    <row r="836" s="175" customFormat="1" x14ac:dyDescent="0.25"/>
    <row r="837" s="175" customFormat="1" x14ac:dyDescent="0.25"/>
    <row r="838" s="175" customFormat="1" x14ac:dyDescent="0.25"/>
    <row r="839" s="175" customFormat="1" x14ac:dyDescent="0.25"/>
    <row r="840" s="175" customFormat="1" x14ac:dyDescent="0.25"/>
    <row r="841" s="175" customFormat="1" x14ac:dyDescent="0.25"/>
    <row r="842" s="175" customFormat="1" x14ac:dyDescent="0.25"/>
    <row r="843" s="175" customFormat="1" x14ac:dyDescent="0.25"/>
    <row r="844" s="175" customFormat="1" x14ac:dyDescent="0.25"/>
    <row r="845" s="175" customFormat="1" x14ac:dyDescent="0.25"/>
    <row r="846" s="175" customFormat="1" x14ac:dyDescent="0.25"/>
    <row r="847" s="175" customFormat="1" x14ac:dyDescent="0.25"/>
    <row r="848" s="175" customFormat="1" x14ac:dyDescent="0.25"/>
    <row r="849" s="175" customFormat="1" x14ac:dyDescent="0.25"/>
    <row r="850" s="175" customFormat="1" x14ac:dyDescent="0.25"/>
    <row r="851" s="175" customFormat="1" x14ac:dyDescent="0.25"/>
    <row r="852" s="175" customFormat="1" x14ac:dyDescent="0.25"/>
    <row r="853" s="175" customFormat="1" x14ac:dyDescent="0.25"/>
    <row r="854" s="175" customFormat="1" x14ac:dyDescent="0.25"/>
    <row r="855" s="175" customFormat="1" x14ac:dyDescent="0.25"/>
    <row r="856" s="175" customFormat="1" x14ac:dyDescent="0.25"/>
    <row r="857" s="175" customFormat="1" x14ac:dyDescent="0.25"/>
    <row r="858" s="175" customFormat="1" x14ac:dyDescent="0.25"/>
    <row r="859" s="175" customFormat="1" x14ac:dyDescent="0.25"/>
    <row r="860" s="175" customFormat="1" x14ac:dyDescent="0.25"/>
    <row r="861" s="175" customFormat="1" x14ac:dyDescent="0.25"/>
    <row r="862" s="175" customFormat="1" x14ac:dyDescent="0.25"/>
    <row r="863" s="175" customFormat="1" x14ac:dyDescent="0.25"/>
    <row r="864" s="175" customFormat="1" x14ac:dyDescent="0.25"/>
    <row r="865" s="175" customFormat="1" x14ac:dyDescent="0.25"/>
    <row r="866" s="175" customFormat="1" x14ac:dyDescent="0.25"/>
    <row r="867" s="175" customFormat="1" x14ac:dyDescent="0.25"/>
    <row r="868" s="175" customFormat="1" x14ac:dyDescent="0.25"/>
    <row r="869" s="175" customFormat="1" x14ac:dyDescent="0.25"/>
    <row r="870" s="175" customFormat="1" x14ac:dyDescent="0.25"/>
    <row r="871" s="175" customFormat="1" x14ac:dyDescent="0.25"/>
    <row r="872" s="175" customFormat="1" x14ac:dyDescent="0.25"/>
    <row r="873" s="175" customFormat="1" x14ac:dyDescent="0.25"/>
    <row r="874" s="175" customFormat="1" x14ac:dyDescent="0.25"/>
    <row r="875" s="175" customFormat="1" x14ac:dyDescent="0.25"/>
    <row r="876" s="175" customFormat="1" x14ac:dyDescent="0.25"/>
    <row r="877" s="175" customFormat="1" x14ac:dyDescent="0.25"/>
    <row r="878" s="175" customFormat="1" x14ac:dyDescent="0.25"/>
    <row r="879" s="175" customFormat="1" x14ac:dyDescent="0.25"/>
    <row r="880" s="175" customFormat="1" x14ac:dyDescent="0.25"/>
    <row r="881" s="175" customFormat="1" x14ac:dyDescent="0.25"/>
    <row r="882" s="175" customFormat="1" x14ac:dyDescent="0.25"/>
    <row r="883" s="175" customFormat="1" x14ac:dyDescent="0.25"/>
    <row r="884" s="175" customFormat="1" x14ac:dyDescent="0.25"/>
    <row r="885" s="175" customFormat="1" x14ac:dyDescent="0.25"/>
    <row r="886" s="175" customFormat="1" x14ac:dyDescent="0.25"/>
    <row r="887" s="175" customFormat="1" x14ac:dyDescent="0.25"/>
    <row r="888" s="175" customFormat="1" x14ac:dyDescent="0.25"/>
    <row r="889" s="175" customFormat="1" x14ac:dyDescent="0.25"/>
    <row r="890" s="175" customFormat="1" x14ac:dyDescent="0.25"/>
    <row r="891" s="175" customFormat="1" x14ac:dyDescent="0.25"/>
    <row r="892" s="175" customFormat="1" x14ac:dyDescent="0.25"/>
    <row r="893" s="175" customFormat="1" x14ac:dyDescent="0.25"/>
    <row r="894" s="175" customFormat="1" x14ac:dyDescent="0.25"/>
    <row r="895" s="175" customFormat="1" x14ac:dyDescent="0.25"/>
    <row r="896" s="175" customFormat="1" x14ac:dyDescent="0.25"/>
    <row r="897" s="175" customFormat="1" x14ac:dyDescent="0.25"/>
    <row r="898" s="175" customFormat="1" x14ac:dyDescent="0.25"/>
    <row r="899" s="175" customFormat="1" x14ac:dyDescent="0.25"/>
    <row r="900" s="175" customFormat="1" x14ac:dyDescent="0.25"/>
    <row r="901" s="175" customFormat="1" x14ac:dyDescent="0.25"/>
    <row r="902" s="175" customFormat="1" x14ac:dyDescent="0.25"/>
    <row r="903" s="175" customFormat="1" x14ac:dyDescent="0.25"/>
    <row r="904" s="175" customFormat="1" x14ac:dyDescent="0.25"/>
  </sheetData>
  <hyperlinks>
    <hyperlink ref="H64" r:id="rId1"/>
    <hyperlink ref="H682" r:id="rId2"/>
    <hyperlink ref="H201" r:id="rId3"/>
    <hyperlink ref="H249" r:id="rId4"/>
    <hyperlink ref="H129" r:id="rId5"/>
    <hyperlink ref="H105" r:id="rId6"/>
    <hyperlink ref="H117" r:id="rId7"/>
    <hyperlink ref="H165" r:id="rId8"/>
    <hyperlink ref="H202" r:id="rId9" display="http://hdr.undp.org/en/indicators/163906"/>
    <hyperlink ref="H212" r:id="rId10"/>
    <hyperlink ref="H662" r:id="rId11"/>
    <hyperlink ref="H285" r:id="rId12"/>
    <hyperlink ref="H177" r:id="rId13"/>
    <hyperlink ref="H141" r:id="rId14"/>
    <hyperlink ref="H153" r:id="rId15"/>
    <hyperlink ref="H494" r:id="rId16"/>
    <hyperlink ref="H650" r:id="rId17"/>
    <hyperlink ref="H542" r:id="rId18"/>
    <hyperlink ref="H369" r:id="rId19" location="MOESM247" display="https://www.nature.com/articles/ngeo2635 - MOESM247"/>
    <hyperlink ref="H357" r:id="rId20"/>
    <hyperlink ref="H238" r:id="rId21" location="investment-by-region" display="https://ourworldindata.org/renewable-energy - investment-by-region"/>
    <hyperlink ref="H225" r:id="rId22"/>
    <hyperlink ref="H381" r:id="rId23" location="data/RFN" display="http://www.fao.org/faostat/en/ - data/RFN"/>
    <hyperlink ref="H81" r:id="rId24" location="data/FBS" display="http://www.fao.org/faostat/en/ - data/FBS"/>
    <hyperlink ref="H76" r:id="rId25" location="data/FBS" display="http://www.fao.org/faostat/en/ - data/FBS"/>
    <hyperlink ref="H28" r:id="rId26" location="data/FS" display="http://www.fao.org/faostat/en/ - data/FS"/>
    <hyperlink ref="H93" r:id="rId27" location="data/EL" display="http://www.fao.org/faostat/en/ - data/EL"/>
    <hyperlink ref="H679" r:id="rId28"/>
    <hyperlink ref="H456" r:id="rId29"/>
    <hyperlink ref="H457" r:id="rId30"/>
    <hyperlink ref="H676" r:id="rId31"/>
    <hyperlink ref="H674" r:id="rId32"/>
    <hyperlink ref="H720" r:id="rId33"/>
  </hyperlinks>
  <pageMargins left="0.7" right="0.7" top="0.75" bottom="0.75" header="0.3" footer="0.3"/>
  <pageSetup paperSize="9" orientation="portrait" horizontalDpi="1200" verticalDpi="1200" r:id="rId3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
  <sheetViews>
    <sheetView workbookViewId="0">
      <selection activeCell="C6" sqref="A1:C6"/>
    </sheetView>
  </sheetViews>
  <sheetFormatPr defaultRowHeight="15" x14ac:dyDescent="0.25"/>
  <cols>
    <col min="14" max="14" width="8.42578125" bestFit="1" customWidth="1"/>
  </cols>
  <sheetData>
    <row r="1" spans="1:65" ht="45" x14ac:dyDescent="0.25">
      <c r="A1" s="12" t="s">
        <v>9</v>
      </c>
      <c r="B1" s="12" t="s">
        <v>141</v>
      </c>
      <c r="C1" s="12" t="s">
        <v>170</v>
      </c>
      <c r="D1" s="12" t="s">
        <v>143</v>
      </c>
      <c r="E1" s="12" t="s">
        <v>144</v>
      </c>
      <c r="F1" s="12" t="s">
        <v>161</v>
      </c>
      <c r="G1" s="12" t="s">
        <v>162</v>
      </c>
      <c r="H1" s="12" t="s">
        <v>163</v>
      </c>
      <c r="I1" s="12" t="s">
        <v>164</v>
      </c>
      <c r="J1" s="12" t="s">
        <v>165</v>
      </c>
      <c r="K1" s="12" t="s">
        <v>166</v>
      </c>
      <c r="L1" s="20" t="s">
        <v>159</v>
      </c>
      <c r="M1" s="12" t="s">
        <v>169</v>
      </c>
      <c r="N1" s="20" t="s">
        <v>168</v>
      </c>
      <c r="O1" s="12" t="s">
        <v>160</v>
      </c>
      <c r="P1" s="12" t="s">
        <v>145</v>
      </c>
      <c r="Q1" s="27" t="s">
        <v>167</v>
      </c>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row>
    <row r="2" spans="1:65" x14ac:dyDescent="0.25">
      <c r="A2" s="21">
        <v>0</v>
      </c>
      <c r="B2" s="21">
        <v>1</v>
      </c>
      <c r="C2" s="21">
        <v>0.75</v>
      </c>
      <c r="D2" s="22">
        <v>0.75</v>
      </c>
      <c r="E2" s="22">
        <v>0</v>
      </c>
      <c r="F2" s="21">
        <v>0</v>
      </c>
      <c r="G2" s="21">
        <v>0</v>
      </c>
      <c r="H2" s="21">
        <v>0</v>
      </c>
      <c r="I2" s="21">
        <v>0.5</v>
      </c>
      <c r="J2" s="21">
        <v>1</v>
      </c>
      <c r="K2" s="21">
        <v>0.75</v>
      </c>
      <c r="L2" s="23">
        <v>0</v>
      </c>
      <c r="M2" s="23">
        <v>0</v>
      </c>
      <c r="N2" s="24">
        <v>1</v>
      </c>
      <c r="O2" s="23">
        <v>0</v>
      </c>
      <c r="P2" s="21">
        <v>0</v>
      </c>
      <c r="Q2" s="11" t="s">
        <v>136</v>
      </c>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row>
    <row r="3" spans="1:65" x14ac:dyDescent="0.25">
      <c r="A3" s="21">
        <v>0.5</v>
      </c>
      <c r="B3" s="21">
        <v>0.5</v>
      </c>
      <c r="C3" s="21">
        <v>0</v>
      </c>
      <c r="D3" s="22">
        <v>0.5</v>
      </c>
      <c r="E3" s="22">
        <v>0.75</v>
      </c>
      <c r="F3" s="21">
        <v>0.5</v>
      </c>
      <c r="G3" s="21">
        <v>0.5</v>
      </c>
      <c r="H3" s="21">
        <v>1</v>
      </c>
      <c r="I3" s="21">
        <v>1</v>
      </c>
      <c r="J3" s="21">
        <v>0.75</v>
      </c>
      <c r="K3" s="21">
        <v>0</v>
      </c>
      <c r="L3" s="23">
        <v>0.75</v>
      </c>
      <c r="M3" s="23">
        <v>0.5</v>
      </c>
      <c r="N3" s="24">
        <v>0.5</v>
      </c>
      <c r="O3" s="23">
        <v>0.75</v>
      </c>
      <c r="P3" s="21">
        <v>0.5</v>
      </c>
      <c r="Q3" s="11" t="s">
        <v>137</v>
      </c>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row>
    <row r="4" spans="1:65" x14ac:dyDescent="0.25">
      <c r="A4" s="21">
        <v>1</v>
      </c>
      <c r="B4" s="21">
        <v>0</v>
      </c>
      <c r="C4" s="21">
        <v>0</v>
      </c>
      <c r="D4" s="22">
        <v>0</v>
      </c>
      <c r="E4" s="22">
        <v>0.5</v>
      </c>
      <c r="F4" s="21">
        <v>0.75</v>
      </c>
      <c r="G4" s="21">
        <v>0.25</v>
      </c>
      <c r="H4" s="21">
        <v>0.5</v>
      </c>
      <c r="I4" s="21">
        <v>0</v>
      </c>
      <c r="J4" s="21">
        <v>0</v>
      </c>
      <c r="K4" s="21">
        <v>1</v>
      </c>
      <c r="L4" s="23">
        <v>1</v>
      </c>
      <c r="M4" s="23">
        <v>1</v>
      </c>
      <c r="N4" s="24">
        <v>0</v>
      </c>
      <c r="O4" s="23">
        <v>1</v>
      </c>
      <c r="P4" s="21">
        <v>0.5</v>
      </c>
      <c r="Q4" s="11" t="s">
        <v>138</v>
      </c>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row>
    <row r="5" spans="1:65" x14ac:dyDescent="0.25">
      <c r="A5" s="21">
        <v>0.5</v>
      </c>
      <c r="B5" s="21">
        <v>0.25</v>
      </c>
      <c r="C5" s="21">
        <v>0</v>
      </c>
      <c r="D5" s="21">
        <v>0.25</v>
      </c>
      <c r="E5" s="21">
        <v>0.25</v>
      </c>
      <c r="F5" s="21">
        <v>0.25</v>
      </c>
      <c r="G5" s="21">
        <v>0</v>
      </c>
      <c r="H5" s="21">
        <v>0.5</v>
      </c>
      <c r="I5" s="21">
        <v>0.5</v>
      </c>
      <c r="J5" s="21">
        <v>0.5</v>
      </c>
      <c r="K5" s="21">
        <v>0.5</v>
      </c>
      <c r="L5" s="23">
        <v>0</v>
      </c>
      <c r="M5" s="23">
        <v>0.5</v>
      </c>
      <c r="N5" s="24">
        <v>0.5</v>
      </c>
      <c r="O5" s="23">
        <v>0.5</v>
      </c>
      <c r="P5" s="21">
        <v>0.25</v>
      </c>
      <c r="Q5" s="11" t="s">
        <v>139</v>
      </c>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row>
    <row r="6" spans="1:65" x14ac:dyDescent="0.25">
      <c r="A6" s="21">
        <v>0</v>
      </c>
      <c r="B6" s="21">
        <v>1</v>
      </c>
      <c r="C6" s="21">
        <v>1</v>
      </c>
      <c r="D6" s="22">
        <v>1</v>
      </c>
      <c r="E6" s="22">
        <v>1</v>
      </c>
      <c r="F6" s="21">
        <v>1</v>
      </c>
      <c r="G6" s="21">
        <v>1</v>
      </c>
      <c r="H6" s="21">
        <v>0.75</v>
      </c>
      <c r="I6" s="21">
        <v>0.75</v>
      </c>
      <c r="J6" s="21">
        <v>0.75</v>
      </c>
      <c r="K6" s="21">
        <v>0</v>
      </c>
      <c r="L6" s="23">
        <v>1</v>
      </c>
      <c r="M6" s="23">
        <v>1</v>
      </c>
      <c r="N6" s="24">
        <v>1</v>
      </c>
      <c r="O6" s="23">
        <v>0.75</v>
      </c>
      <c r="P6" s="21">
        <v>1</v>
      </c>
      <c r="Q6" s="11" t="s">
        <v>140</v>
      </c>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16" workbookViewId="0">
      <selection activeCell="G54" sqref="G54"/>
    </sheetView>
  </sheetViews>
  <sheetFormatPr defaultColWidth="9" defaultRowHeight="15" x14ac:dyDescent="0.25"/>
  <cols>
    <col min="1" max="1" width="27" style="355" customWidth="1"/>
    <col min="2" max="2" width="41" style="355" customWidth="1"/>
    <col min="3" max="3" width="27" style="355" bestFit="1" customWidth="1"/>
    <col min="4" max="4" width="8.140625" style="355" customWidth="1"/>
    <col min="5" max="5" width="28.85546875" style="358" customWidth="1"/>
    <col min="6" max="6" width="22.7109375" style="355" customWidth="1"/>
    <col min="7" max="8" width="45.140625" style="355" customWidth="1"/>
    <col min="9" max="9" width="18.140625" style="355" customWidth="1"/>
    <col min="10" max="16384" width="9" style="355"/>
  </cols>
  <sheetData>
    <row r="1" spans="1:9" x14ac:dyDescent="0.25">
      <c r="A1" s="367" t="s">
        <v>466</v>
      </c>
      <c r="B1" s="367" t="s">
        <v>513</v>
      </c>
      <c r="C1" s="367" t="s">
        <v>467</v>
      </c>
      <c r="D1" s="367" t="s">
        <v>526</v>
      </c>
      <c r="E1" s="391" t="s">
        <v>468</v>
      </c>
      <c r="F1" s="367" t="s">
        <v>408</v>
      </c>
      <c r="G1" s="367" t="s">
        <v>998</v>
      </c>
      <c r="H1" s="367" t="s">
        <v>1131</v>
      </c>
      <c r="I1" s="367" t="s">
        <v>546</v>
      </c>
    </row>
    <row r="2" spans="1:9" ht="85.5" customHeight="1" x14ac:dyDescent="0.25">
      <c r="A2" s="655" t="s">
        <v>469</v>
      </c>
      <c r="B2" s="655" t="s">
        <v>470</v>
      </c>
      <c r="C2" s="655" t="s">
        <v>913</v>
      </c>
      <c r="D2" s="357" t="s">
        <v>529</v>
      </c>
      <c r="E2" s="361" t="s">
        <v>510</v>
      </c>
      <c r="F2" s="357" t="s">
        <v>473</v>
      </c>
      <c r="G2" s="357" t="s">
        <v>540</v>
      </c>
      <c r="H2" s="357"/>
      <c r="I2" s="357"/>
    </row>
    <row r="3" spans="1:9" ht="85.5" customHeight="1" x14ac:dyDescent="0.25">
      <c r="A3" s="655"/>
      <c r="B3" s="655"/>
      <c r="C3" s="655"/>
      <c r="D3" s="357" t="s">
        <v>530</v>
      </c>
      <c r="E3" s="388" t="s">
        <v>531</v>
      </c>
      <c r="F3" s="357" t="s">
        <v>532</v>
      </c>
      <c r="G3" s="357" t="s">
        <v>541</v>
      </c>
      <c r="H3" s="357"/>
      <c r="I3" s="357"/>
    </row>
    <row r="4" spans="1:9" ht="85.5" customHeight="1" x14ac:dyDescent="0.25">
      <c r="A4" s="655"/>
      <c r="B4" s="655"/>
      <c r="C4" s="655"/>
      <c r="D4" s="357" t="s">
        <v>856</v>
      </c>
      <c r="E4" s="388" t="s">
        <v>999</v>
      </c>
      <c r="F4" s="357" t="s">
        <v>473</v>
      </c>
      <c r="G4" s="357" t="s">
        <v>1064</v>
      </c>
      <c r="H4" s="357"/>
      <c r="I4" s="357" t="s">
        <v>912</v>
      </c>
    </row>
    <row r="5" spans="1:9" ht="30" x14ac:dyDescent="0.25">
      <c r="A5" s="655"/>
      <c r="B5" s="655"/>
      <c r="C5" s="655"/>
      <c r="D5" s="355" t="s">
        <v>533</v>
      </c>
      <c r="E5" s="388" t="s">
        <v>471</v>
      </c>
      <c r="F5" s="357" t="s">
        <v>472</v>
      </c>
      <c r="G5" s="359" t="s">
        <v>544</v>
      </c>
      <c r="H5" s="359"/>
      <c r="I5" s="359"/>
    </row>
    <row r="6" spans="1:9" ht="90" x14ac:dyDescent="0.25">
      <c r="A6" s="655"/>
      <c r="B6" s="655"/>
      <c r="C6" s="368" t="s">
        <v>1000</v>
      </c>
      <c r="D6" s="357" t="s">
        <v>543</v>
      </c>
      <c r="E6" s="388" t="s">
        <v>507</v>
      </c>
      <c r="F6" s="357" t="s">
        <v>473</v>
      </c>
      <c r="G6" s="357" t="s">
        <v>542</v>
      </c>
      <c r="H6" s="357"/>
      <c r="I6" s="357"/>
    </row>
    <row r="7" spans="1:9" ht="42.75" customHeight="1" x14ac:dyDescent="0.25">
      <c r="A7" s="655"/>
      <c r="B7" s="655" t="s">
        <v>474</v>
      </c>
      <c r="C7" s="368" t="s">
        <v>1051</v>
      </c>
      <c r="D7" s="357" t="s">
        <v>534</v>
      </c>
      <c r="E7" s="388" t="s">
        <v>538</v>
      </c>
      <c r="F7" s="357" t="s">
        <v>667</v>
      </c>
      <c r="G7" s="357" t="s">
        <v>1001</v>
      </c>
      <c r="H7" s="357"/>
      <c r="I7" s="357" t="s">
        <v>914</v>
      </c>
    </row>
    <row r="8" spans="1:9" ht="45" x14ac:dyDescent="0.25">
      <c r="A8" s="655"/>
      <c r="B8" s="655"/>
      <c r="C8" s="655" t="s">
        <v>1050</v>
      </c>
      <c r="D8" s="357" t="s">
        <v>535</v>
      </c>
      <c r="E8" s="361" t="s">
        <v>509</v>
      </c>
      <c r="F8" s="357" t="s">
        <v>819</v>
      </c>
      <c r="G8" s="357" t="s">
        <v>1002</v>
      </c>
      <c r="H8" s="357"/>
      <c r="I8" s="357" t="s">
        <v>912</v>
      </c>
    </row>
    <row r="9" spans="1:9" ht="45" x14ac:dyDescent="0.25">
      <c r="A9" s="655"/>
      <c r="B9" s="655"/>
      <c r="C9" s="655"/>
      <c r="D9" s="357" t="s">
        <v>536</v>
      </c>
      <c r="E9" s="361" t="s">
        <v>508</v>
      </c>
      <c r="F9" s="357" t="s">
        <v>819</v>
      </c>
      <c r="G9" s="357" t="s">
        <v>545</v>
      </c>
      <c r="H9" s="357"/>
      <c r="I9" s="357" t="s">
        <v>912</v>
      </c>
    </row>
    <row r="10" spans="1:9" ht="30" x14ac:dyDescent="0.25">
      <c r="A10" s="655"/>
      <c r="B10" s="655"/>
      <c r="C10" s="655"/>
      <c r="D10" s="357" t="s">
        <v>537</v>
      </c>
      <c r="E10" s="361" t="s">
        <v>30</v>
      </c>
      <c r="F10" s="357" t="s">
        <v>971</v>
      </c>
      <c r="G10" s="357" t="s">
        <v>943</v>
      </c>
      <c r="H10" s="357"/>
      <c r="I10" s="357"/>
    </row>
    <row r="11" spans="1:9" ht="45" x14ac:dyDescent="0.25">
      <c r="A11" s="655"/>
      <c r="B11" s="655"/>
      <c r="C11" s="368" t="s">
        <v>1069</v>
      </c>
      <c r="D11" s="357" t="s">
        <v>942</v>
      </c>
      <c r="E11" s="361" t="s">
        <v>1067</v>
      </c>
      <c r="F11" s="357" t="s">
        <v>191</v>
      </c>
      <c r="G11" s="357" t="s">
        <v>1068</v>
      </c>
      <c r="H11" s="357"/>
      <c r="I11" s="357" t="s">
        <v>912</v>
      </c>
    </row>
    <row r="12" spans="1:9" ht="30" x14ac:dyDescent="0.25">
      <c r="A12" s="655"/>
      <c r="B12" s="655"/>
      <c r="C12" s="655" t="s">
        <v>981</v>
      </c>
      <c r="D12" s="357" t="s">
        <v>967</v>
      </c>
      <c r="E12" s="361" t="s">
        <v>29</v>
      </c>
      <c r="F12" s="357" t="s">
        <v>965</v>
      </c>
      <c r="G12" s="357" t="s">
        <v>969</v>
      </c>
      <c r="H12" s="357"/>
      <c r="I12" s="357"/>
    </row>
    <row r="13" spans="1:9" ht="30" x14ac:dyDescent="0.25">
      <c r="A13" s="655"/>
      <c r="B13" s="655"/>
      <c r="C13" s="655"/>
      <c r="D13" s="357" t="s">
        <v>968</v>
      </c>
      <c r="E13" s="361" t="s">
        <v>27</v>
      </c>
      <c r="F13" s="357" t="s">
        <v>965</v>
      </c>
      <c r="G13" s="357" t="s">
        <v>970</v>
      </c>
      <c r="H13" s="357"/>
      <c r="I13" s="357"/>
    </row>
    <row r="14" spans="1:9" ht="71.25" customHeight="1" x14ac:dyDescent="0.25">
      <c r="A14" s="655" t="s">
        <v>511</v>
      </c>
      <c r="B14" s="357" t="s">
        <v>516</v>
      </c>
      <c r="C14" s="655" t="s">
        <v>1003</v>
      </c>
      <c r="D14" s="357" t="s">
        <v>549</v>
      </c>
      <c r="E14" s="361" t="s">
        <v>547</v>
      </c>
      <c r="F14" s="357" t="s">
        <v>219</v>
      </c>
      <c r="G14" s="357" t="s">
        <v>1004</v>
      </c>
      <c r="H14" s="357"/>
      <c r="I14" s="357" t="s">
        <v>915</v>
      </c>
    </row>
    <row r="15" spans="1:9" ht="85.5" customHeight="1" x14ac:dyDescent="0.25">
      <c r="A15" s="655"/>
      <c r="B15" s="357" t="s">
        <v>517</v>
      </c>
      <c r="C15" s="655"/>
      <c r="D15" s="655" t="s">
        <v>550</v>
      </c>
      <c r="E15" s="656" t="s">
        <v>548</v>
      </c>
      <c r="F15" s="655" t="s">
        <v>191</v>
      </c>
      <c r="G15" s="655" t="s">
        <v>551</v>
      </c>
      <c r="H15" s="357"/>
      <c r="I15" s="655" t="s">
        <v>557</v>
      </c>
    </row>
    <row r="16" spans="1:9" ht="60" x14ac:dyDescent="0.25">
      <c r="A16" s="655"/>
      <c r="B16" s="357" t="s">
        <v>518</v>
      </c>
      <c r="C16" s="655"/>
      <c r="D16" s="655"/>
      <c r="E16" s="656"/>
      <c r="F16" s="655"/>
      <c r="G16" s="655"/>
      <c r="H16" s="357"/>
      <c r="I16" s="655"/>
    </row>
    <row r="17" spans="1:9" ht="92.25" customHeight="1" x14ac:dyDescent="0.25">
      <c r="A17" s="655"/>
      <c r="B17" s="655" t="s">
        <v>515</v>
      </c>
      <c r="C17" s="357" t="s">
        <v>555</v>
      </c>
      <c r="D17" s="357" t="s">
        <v>556</v>
      </c>
      <c r="E17" s="361" t="s">
        <v>552</v>
      </c>
      <c r="F17" s="357" t="s">
        <v>553</v>
      </c>
      <c r="G17" s="357" t="s">
        <v>554</v>
      </c>
      <c r="H17" s="357"/>
      <c r="I17" s="357" t="s">
        <v>916</v>
      </c>
    </row>
    <row r="18" spans="1:9" ht="92.25" customHeight="1" x14ac:dyDescent="0.25">
      <c r="A18" s="655"/>
      <c r="B18" s="655"/>
      <c r="C18" s="357" t="s">
        <v>944</v>
      </c>
      <c r="D18" s="357" t="s">
        <v>946</v>
      </c>
      <c r="E18" s="361" t="s">
        <v>147</v>
      </c>
      <c r="F18" s="357" t="s">
        <v>945</v>
      </c>
      <c r="G18" s="357" t="s">
        <v>947</v>
      </c>
      <c r="H18" s="357"/>
      <c r="I18" s="357" t="s">
        <v>912</v>
      </c>
    </row>
    <row r="19" spans="1:9" ht="114" customHeight="1" x14ac:dyDescent="0.25">
      <c r="A19" s="655" t="s">
        <v>512</v>
      </c>
      <c r="B19" s="655" t="s">
        <v>519</v>
      </c>
      <c r="C19" s="357" t="s">
        <v>920</v>
      </c>
      <c r="D19" s="357" t="s">
        <v>558</v>
      </c>
      <c r="E19" s="361" t="s">
        <v>921</v>
      </c>
      <c r="F19" s="357" t="s">
        <v>473</v>
      </c>
      <c r="G19" s="357" t="s">
        <v>922</v>
      </c>
      <c r="H19" s="357"/>
      <c r="I19" s="357" t="s">
        <v>563</v>
      </c>
    </row>
    <row r="20" spans="1:9" ht="90" x14ac:dyDescent="0.25">
      <c r="A20" s="655"/>
      <c r="B20" s="655"/>
      <c r="C20" s="357" t="s">
        <v>919</v>
      </c>
      <c r="D20" s="357" t="s">
        <v>559</v>
      </c>
      <c r="E20" s="361" t="s">
        <v>917</v>
      </c>
      <c r="F20" s="357" t="s">
        <v>473</v>
      </c>
      <c r="G20" s="357" t="s">
        <v>918</v>
      </c>
      <c r="H20" s="357"/>
      <c r="I20" s="357" t="s">
        <v>563</v>
      </c>
    </row>
    <row r="21" spans="1:9" ht="45" x14ac:dyDescent="0.25">
      <c r="A21" s="655"/>
      <c r="B21" s="655"/>
      <c r="C21" s="357" t="s">
        <v>567</v>
      </c>
      <c r="D21" s="357" t="s">
        <v>566</v>
      </c>
      <c r="E21" s="361" t="s">
        <v>562</v>
      </c>
      <c r="F21" s="357" t="s">
        <v>219</v>
      </c>
      <c r="G21" s="357" t="s">
        <v>565</v>
      </c>
      <c r="H21" s="357"/>
      <c r="I21" s="357" t="s">
        <v>563</v>
      </c>
    </row>
    <row r="22" spans="1:9" ht="45" x14ac:dyDescent="0.25">
      <c r="A22" s="655"/>
      <c r="B22" s="655"/>
      <c r="C22" s="655" t="s">
        <v>951</v>
      </c>
      <c r="D22" s="357" t="s">
        <v>948</v>
      </c>
      <c r="E22" s="361" t="s">
        <v>148</v>
      </c>
      <c r="F22" s="357" t="s">
        <v>973</v>
      </c>
      <c r="G22" s="357" t="s">
        <v>1005</v>
      </c>
      <c r="H22" s="357"/>
      <c r="I22" s="357"/>
    </row>
    <row r="23" spans="1:9" ht="45" x14ac:dyDescent="0.25">
      <c r="A23" s="655"/>
      <c r="B23" s="655"/>
      <c r="C23" s="655"/>
      <c r="D23" s="357" t="s">
        <v>949</v>
      </c>
      <c r="E23" s="361" t="s">
        <v>149</v>
      </c>
      <c r="F23" s="357" t="s">
        <v>973</v>
      </c>
      <c r="G23" s="357" t="s">
        <v>1006</v>
      </c>
      <c r="H23" s="357"/>
      <c r="I23" s="357"/>
    </row>
    <row r="24" spans="1:9" ht="57" customHeight="1" x14ac:dyDescent="0.25">
      <c r="A24" s="655"/>
      <c r="B24" s="655" t="s">
        <v>520</v>
      </c>
      <c r="C24" s="357" t="s">
        <v>568</v>
      </c>
      <c r="D24" s="357" t="s">
        <v>560</v>
      </c>
      <c r="E24" s="361" t="s">
        <v>561</v>
      </c>
      <c r="F24" s="357" t="s">
        <v>473</v>
      </c>
      <c r="G24" s="357" t="s">
        <v>963</v>
      </c>
      <c r="H24" s="357"/>
      <c r="I24" s="357" t="s">
        <v>564</v>
      </c>
    </row>
    <row r="25" spans="1:9" ht="28.5" customHeight="1" x14ac:dyDescent="0.25">
      <c r="A25" s="655"/>
      <c r="B25" s="655"/>
      <c r="C25" s="368" t="s">
        <v>1007</v>
      </c>
      <c r="D25" s="357" t="s">
        <v>950</v>
      </c>
      <c r="E25" s="361" t="s">
        <v>150</v>
      </c>
      <c r="F25" s="357" t="s">
        <v>973</v>
      </c>
      <c r="G25" s="357" t="s">
        <v>1008</v>
      </c>
      <c r="H25" s="357"/>
      <c r="I25" s="357"/>
    </row>
    <row r="26" spans="1:9" ht="45" x14ac:dyDescent="0.25">
      <c r="A26" s="655" t="s">
        <v>475</v>
      </c>
      <c r="B26" s="357" t="s">
        <v>476</v>
      </c>
      <c r="C26" s="368" t="s">
        <v>477</v>
      </c>
      <c r="D26" s="357" t="s">
        <v>569</v>
      </c>
      <c r="E26" s="361" t="s">
        <v>478</v>
      </c>
      <c r="F26" s="357" t="s">
        <v>473</v>
      </c>
      <c r="G26" s="357" t="s">
        <v>570</v>
      </c>
      <c r="H26" s="357"/>
      <c r="I26" s="357" t="s">
        <v>574</v>
      </c>
    </row>
    <row r="27" spans="1:9" ht="45" x14ac:dyDescent="0.25">
      <c r="A27" s="655"/>
      <c r="B27" s="655" t="s">
        <v>479</v>
      </c>
      <c r="C27" s="357" t="s">
        <v>480</v>
      </c>
      <c r="D27" s="357" t="s">
        <v>735</v>
      </c>
      <c r="E27" s="361" t="s">
        <v>1080</v>
      </c>
      <c r="F27" s="357" t="s">
        <v>473</v>
      </c>
      <c r="G27" s="357" t="s">
        <v>1081</v>
      </c>
      <c r="H27" s="357"/>
      <c r="I27" s="357" t="s">
        <v>924</v>
      </c>
    </row>
    <row r="28" spans="1:9" ht="45" x14ac:dyDescent="0.25">
      <c r="A28" s="655"/>
      <c r="B28" s="655"/>
      <c r="C28" s="357" t="s">
        <v>737</v>
      </c>
      <c r="D28" s="357" t="s">
        <v>736</v>
      </c>
      <c r="E28" s="361" t="s">
        <v>1078</v>
      </c>
      <c r="F28" s="357" t="s">
        <v>473</v>
      </c>
      <c r="G28" s="357" t="s">
        <v>1079</v>
      </c>
      <c r="H28" s="357"/>
      <c r="I28" s="357" t="s">
        <v>557</v>
      </c>
    </row>
    <row r="29" spans="1:9" ht="30" x14ac:dyDescent="0.25">
      <c r="A29" s="655"/>
      <c r="B29" s="357"/>
      <c r="C29" s="357"/>
      <c r="D29" s="357" t="s">
        <v>953</v>
      </c>
      <c r="E29" s="361" t="s">
        <v>21</v>
      </c>
      <c r="F29" s="357" t="s">
        <v>959</v>
      </c>
      <c r="G29" s="655" t="s">
        <v>961</v>
      </c>
      <c r="H29" s="357"/>
      <c r="I29" s="357"/>
    </row>
    <row r="30" spans="1:9" ht="30" x14ac:dyDescent="0.25">
      <c r="A30" s="655"/>
      <c r="B30" s="357"/>
      <c r="C30" s="357"/>
      <c r="D30" s="357" t="s">
        <v>954</v>
      </c>
      <c r="E30" s="361" t="s">
        <v>22</v>
      </c>
      <c r="F30" s="357" t="s">
        <v>959</v>
      </c>
      <c r="G30" s="655"/>
      <c r="H30" s="357"/>
      <c r="I30" s="357"/>
    </row>
    <row r="31" spans="1:9" ht="30" x14ac:dyDescent="0.25">
      <c r="A31" s="655"/>
      <c r="B31" s="357"/>
      <c r="C31" s="357"/>
      <c r="D31" s="357" t="s">
        <v>955</v>
      </c>
      <c r="E31" s="361" t="s">
        <v>23</v>
      </c>
      <c r="F31" s="357" t="s">
        <v>959</v>
      </c>
      <c r="G31" s="655"/>
      <c r="H31" s="357"/>
      <c r="I31" s="357"/>
    </row>
    <row r="32" spans="1:9" x14ac:dyDescent="0.25">
      <c r="A32" s="655"/>
      <c r="B32" s="357"/>
      <c r="C32" s="357"/>
      <c r="D32" s="357" t="s">
        <v>956</v>
      </c>
      <c r="E32" s="361" t="s">
        <v>24</v>
      </c>
      <c r="F32" s="357" t="s">
        <v>959</v>
      </c>
      <c r="G32" s="655" t="s">
        <v>960</v>
      </c>
      <c r="H32" s="357"/>
      <c r="I32" s="357"/>
    </row>
    <row r="33" spans="1:9" x14ac:dyDescent="0.25">
      <c r="A33" s="655"/>
      <c r="B33" s="357"/>
      <c r="C33" s="357"/>
      <c r="D33" s="357" t="s">
        <v>957</v>
      </c>
      <c r="E33" s="361" t="s">
        <v>25</v>
      </c>
      <c r="F33" s="357" t="s">
        <v>959</v>
      </c>
      <c r="G33" s="655"/>
      <c r="H33" s="357"/>
      <c r="I33" s="357"/>
    </row>
    <row r="34" spans="1:9" x14ac:dyDescent="0.25">
      <c r="A34" s="655"/>
      <c r="B34" s="357"/>
      <c r="C34" s="357"/>
      <c r="D34" s="357" t="s">
        <v>958</v>
      </c>
      <c r="E34" s="361" t="s">
        <v>26</v>
      </c>
      <c r="F34" s="357" t="s">
        <v>959</v>
      </c>
      <c r="G34" s="655"/>
      <c r="H34" s="357"/>
      <c r="I34" s="357"/>
    </row>
    <row r="35" spans="1:9" ht="28.5" customHeight="1" x14ac:dyDescent="0.25">
      <c r="A35" s="655"/>
      <c r="B35" s="655" t="s">
        <v>481</v>
      </c>
      <c r="C35" s="655" t="s">
        <v>482</v>
      </c>
      <c r="D35" s="357" t="s">
        <v>571</v>
      </c>
      <c r="E35" s="361" t="s">
        <v>483</v>
      </c>
      <c r="F35" s="357" t="s">
        <v>843</v>
      </c>
      <c r="G35" s="357" t="s">
        <v>1130</v>
      </c>
      <c r="H35" s="357" t="s">
        <v>1132</v>
      </c>
      <c r="I35" s="357" t="s">
        <v>575</v>
      </c>
    </row>
    <row r="36" spans="1:9" ht="60" x14ac:dyDescent="0.25">
      <c r="A36" s="655"/>
      <c r="B36" s="655"/>
      <c r="C36" s="655"/>
      <c r="D36" s="357" t="s">
        <v>952</v>
      </c>
      <c r="E36" s="361" t="s">
        <v>20</v>
      </c>
      <c r="F36" s="357" t="s">
        <v>959</v>
      </c>
      <c r="G36" s="357" t="s">
        <v>962</v>
      </c>
      <c r="H36" s="357"/>
      <c r="I36" s="357"/>
    </row>
    <row r="37" spans="1:9" ht="45" x14ac:dyDescent="0.25">
      <c r="A37" s="655"/>
      <c r="B37" s="357" t="s">
        <v>484</v>
      </c>
      <c r="C37" s="357" t="s">
        <v>485</v>
      </c>
      <c r="D37" s="357" t="s">
        <v>572</v>
      </c>
      <c r="E37" s="361" t="s">
        <v>486</v>
      </c>
      <c r="F37" s="357" t="s">
        <v>473</v>
      </c>
      <c r="G37" s="357" t="s">
        <v>573</v>
      </c>
      <c r="H37" s="357"/>
      <c r="I37" s="357" t="s">
        <v>923</v>
      </c>
    </row>
    <row r="38" spans="1:9" ht="75" x14ac:dyDescent="0.25">
      <c r="A38" s="357" t="s">
        <v>521</v>
      </c>
      <c r="B38" s="357" t="s">
        <v>522</v>
      </c>
      <c r="C38" s="357" t="s">
        <v>925</v>
      </c>
      <c r="D38" s="357" t="s">
        <v>527</v>
      </c>
      <c r="E38" s="361" t="s">
        <v>1122</v>
      </c>
      <c r="F38" s="357" t="s">
        <v>582</v>
      </c>
      <c r="G38" s="357" t="s">
        <v>576</v>
      </c>
      <c r="H38" s="357"/>
      <c r="I38" s="357" t="s">
        <v>575</v>
      </c>
    </row>
    <row r="39" spans="1:9" ht="75" x14ac:dyDescent="0.25">
      <c r="A39" s="357"/>
      <c r="B39" s="357" t="s">
        <v>523</v>
      </c>
      <c r="C39" s="357" t="s">
        <v>926</v>
      </c>
      <c r="D39" s="357" t="s">
        <v>528</v>
      </c>
      <c r="E39" s="361" t="s">
        <v>1123</v>
      </c>
      <c r="F39" s="369" t="s">
        <v>1053</v>
      </c>
      <c r="G39" s="357" t="s">
        <v>577</v>
      </c>
      <c r="H39" s="357"/>
      <c r="I39" s="357" t="s">
        <v>574</v>
      </c>
    </row>
    <row r="40" spans="1:9" ht="120" customHeight="1" x14ac:dyDescent="0.25">
      <c r="A40" s="357"/>
      <c r="B40" s="655" t="s">
        <v>525</v>
      </c>
      <c r="C40" s="655" t="s">
        <v>1009</v>
      </c>
      <c r="D40" s="357" t="s">
        <v>761</v>
      </c>
      <c r="E40" s="361" t="s">
        <v>500</v>
      </c>
      <c r="F40" s="357" t="s">
        <v>583</v>
      </c>
      <c r="G40" s="357" t="s">
        <v>1092</v>
      </c>
      <c r="H40" s="357"/>
      <c r="I40" s="357" t="s">
        <v>557</v>
      </c>
    </row>
    <row r="41" spans="1:9" ht="45" x14ac:dyDescent="0.25">
      <c r="A41" s="357"/>
      <c r="B41" s="655"/>
      <c r="C41" s="655"/>
      <c r="D41" s="357" t="s">
        <v>760</v>
      </c>
      <c r="E41" s="361" t="s">
        <v>758</v>
      </c>
      <c r="F41" s="357" t="s">
        <v>759</v>
      </c>
      <c r="G41" s="357" t="s">
        <v>1091</v>
      </c>
      <c r="H41" s="357"/>
      <c r="I41" s="357" t="s">
        <v>1093</v>
      </c>
    </row>
    <row r="42" spans="1:9" ht="75" x14ac:dyDescent="0.25">
      <c r="A42" s="357"/>
      <c r="B42" s="357" t="s">
        <v>524</v>
      </c>
      <c r="C42" s="357" t="s">
        <v>584</v>
      </c>
      <c r="D42" s="357" t="s">
        <v>580</v>
      </c>
      <c r="E42" s="361" t="s">
        <v>581</v>
      </c>
      <c r="F42" s="357" t="s">
        <v>191</v>
      </c>
      <c r="G42" s="357" t="s">
        <v>1010</v>
      </c>
      <c r="H42" s="357"/>
      <c r="I42" s="357"/>
    </row>
    <row r="43" spans="1:9" ht="120.75" customHeight="1" x14ac:dyDescent="0.25">
      <c r="A43" s="655" t="s">
        <v>487</v>
      </c>
      <c r="B43" s="655" t="s">
        <v>488</v>
      </c>
      <c r="C43" s="655" t="s">
        <v>1011</v>
      </c>
      <c r="D43" s="357" t="s">
        <v>585</v>
      </c>
      <c r="E43" s="361" t="s">
        <v>1012</v>
      </c>
      <c r="F43" s="357" t="s">
        <v>591</v>
      </c>
      <c r="G43" s="357" t="s">
        <v>592</v>
      </c>
      <c r="H43" s="357"/>
      <c r="I43" s="357"/>
    </row>
    <row r="44" spans="1:9" ht="54.75" customHeight="1" x14ac:dyDescent="0.25">
      <c r="A44" s="655"/>
      <c r="B44" s="655"/>
      <c r="C44" s="655"/>
      <c r="D44" s="357" t="s">
        <v>586</v>
      </c>
      <c r="E44" s="361" t="s">
        <v>1013</v>
      </c>
      <c r="F44" s="357" t="s">
        <v>591</v>
      </c>
      <c r="G44" s="357" t="s">
        <v>1014</v>
      </c>
      <c r="H44" s="357"/>
      <c r="I44" s="357"/>
    </row>
    <row r="45" spans="1:9" ht="60.75" customHeight="1" x14ac:dyDescent="0.25">
      <c r="A45" s="655"/>
      <c r="B45" s="655"/>
      <c r="C45" s="655"/>
      <c r="D45" s="357" t="s">
        <v>587</v>
      </c>
      <c r="E45" s="361" t="s">
        <v>1015</v>
      </c>
      <c r="F45" s="357" t="s">
        <v>539</v>
      </c>
      <c r="G45" s="357" t="s">
        <v>593</v>
      </c>
      <c r="H45" s="357"/>
      <c r="I45" s="357"/>
    </row>
    <row r="46" spans="1:9" ht="60.75" customHeight="1" x14ac:dyDescent="0.25">
      <c r="A46" s="655"/>
      <c r="B46" s="655"/>
      <c r="C46" s="655"/>
      <c r="D46" s="357" t="s">
        <v>588</v>
      </c>
      <c r="E46" s="361" t="s">
        <v>1016</v>
      </c>
      <c r="F46" s="357" t="s">
        <v>591</v>
      </c>
      <c r="G46" s="357" t="s">
        <v>1017</v>
      </c>
      <c r="H46" s="357"/>
      <c r="I46" s="357"/>
    </row>
    <row r="47" spans="1:9" ht="225" x14ac:dyDescent="0.25">
      <c r="A47" s="655"/>
      <c r="B47" s="655"/>
      <c r="C47" s="655" t="s">
        <v>927</v>
      </c>
      <c r="D47" s="357" t="s">
        <v>596</v>
      </c>
      <c r="E47" s="388" t="s">
        <v>821</v>
      </c>
      <c r="F47" s="357" t="s">
        <v>667</v>
      </c>
      <c r="G47" s="357" t="s">
        <v>1099</v>
      </c>
      <c r="H47" s="357"/>
      <c r="I47" s="368" t="s">
        <v>799</v>
      </c>
    </row>
    <row r="48" spans="1:9" ht="75" x14ac:dyDescent="0.25">
      <c r="A48" s="655"/>
      <c r="B48" s="655"/>
      <c r="C48" s="655"/>
      <c r="D48" s="357" t="s">
        <v>597</v>
      </c>
      <c r="E48" s="388" t="s">
        <v>820</v>
      </c>
      <c r="F48" s="357" t="s">
        <v>818</v>
      </c>
      <c r="G48" s="368" t="s">
        <v>1019</v>
      </c>
      <c r="H48" s="368"/>
      <c r="I48" s="368" t="s">
        <v>930</v>
      </c>
    </row>
    <row r="49" spans="1:9" ht="60" x14ac:dyDescent="0.25">
      <c r="A49" s="655"/>
      <c r="B49" s="655"/>
      <c r="C49" s="655"/>
      <c r="D49" s="357" t="s">
        <v>598</v>
      </c>
      <c r="E49" s="388" t="s">
        <v>829</v>
      </c>
      <c r="F49" s="357" t="s">
        <v>819</v>
      </c>
      <c r="G49" s="368" t="s">
        <v>1020</v>
      </c>
      <c r="H49" s="368"/>
      <c r="I49" s="368" t="s">
        <v>1097</v>
      </c>
    </row>
    <row r="50" spans="1:9" ht="75" x14ac:dyDescent="0.25">
      <c r="A50" s="655"/>
      <c r="B50" s="655"/>
      <c r="C50" s="655" t="s">
        <v>927</v>
      </c>
      <c r="D50" s="357" t="s">
        <v>599</v>
      </c>
      <c r="E50" s="388" t="s">
        <v>602</v>
      </c>
      <c r="F50" s="357" t="s">
        <v>603</v>
      </c>
      <c r="G50" s="368" t="s">
        <v>605</v>
      </c>
      <c r="H50" s="368"/>
      <c r="I50" s="368"/>
    </row>
    <row r="51" spans="1:9" ht="45" x14ac:dyDescent="0.25">
      <c r="A51" s="655"/>
      <c r="B51" s="655"/>
      <c r="C51" s="655"/>
      <c r="D51" s="357" t="s">
        <v>600</v>
      </c>
      <c r="E51" s="388" t="s">
        <v>604</v>
      </c>
      <c r="F51" s="357" t="s">
        <v>472</v>
      </c>
      <c r="G51" s="368" t="s">
        <v>1021</v>
      </c>
      <c r="H51" s="368"/>
      <c r="I51" s="368"/>
    </row>
    <row r="52" spans="1:9" ht="60" x14ac:dyDescent="0.25">
      <c r="A52" s="655"/>
      <c r="B52" s="655"/>
      <c r="C52" s="655"/>
      <c r="D52" s="357" t="s">
        <v>601</v>
      </c>
      <c r="E52" s="388" t="s">
        <v>828</v>
      </c>
      <c r="F52" s="357" t="s">
        <v>819</v>
      </c>
      <c r="G52" s="368" t="s">
        <v>1022</v>
      </c>
      <c r="H52" s="368"/>
      <c r="I52" s="368" t="s">
        <v>1096</v>
      </c>
    </row>
    <row r="53" spans="1:9" ht="240" x14ac:dyDescent="0.25">
      <c r="A53" s="655"/>
      <c r="B53" s="655"/>
      <c r="C53" s="655"/>
      <c r="D53" s="357" t="s">
        <v>831</v>
      </c>
      <c r="E53" s="388" t="s">
        <v>830</v>
      </c>
      <c r="F53" s="357" t="s">
        <v>667</v>
      </c>
      <c r="G53" s="357" t="s">
        <v>1098</v>
      </c>
      <c r="H53" s="357"/>
      <c r="I53" s="368" t="s">
        <v>799</v>
      </c>
    </row>
    <row r="54" spans="1:9" ht="45" x14ac:dyDescent="0.25">
      <c r="A54" s="655" t="s">
        <v>489</v>
      </c>
      <c r="B54" s="655" t="s">
        <v>490</v>
      </c>
      <c r="C54" s="655" t="s">
        <v>660</v>
      </c>
      <c r="D54" s="357" t="s">
        <v>607</v>
      </c>
      <c r="E54" s="361" t="s">
        <v>1024</v>
      </c>
      <c r="F54" s="357" t="s">
        <v>473</v>
      </c>
      <c r="G54" s="357" t="s">
        <v>606</v>
      </c>
      <c r="H54" s="357"/>
    </row>
    <row r="55" spans="1:9" ht="30" x14ac:dyDescent="0.25">
      <c r="A55" s="655"/>
      <c r="B55" s="655"/>
      <c r="C55" s="655"/>
      <c r="D55" s="357" t="s">
        <v>608</v>
      </c>
      <c r="E55" s="361" t="s">
        <v>1136</v>
      </c>
      <c r="F55" s="357" t="s">
        <v>473</v>
      </c>
      <c r="G55" s="357" t="s">
        <v>1139</v>
      </c>
      <c r="H55" s="357"/>
      <c r="I55" s="357" t="s">
        <v>931</v>
      </c>
    </row>
    <row r="56" spans="1:9" ht="30" x14ac:dyDescent="0.25">
      <c r="A56" s="655"/>
      <c r="B56" s="655"/>
      <c r="C56" s="655"/>
      <c r="D56" s="357" t="s">
        <v>609</v>
      </c>
      <c r="E56" s="361" t="s">
        <v>494</v>
      </c>
      <c r="F56" s="357" t="s">
        <v>493</v>
      </c>
      <c r="G56" s="357" t="s">
        <v>1025</v>
      </c>
      <c r="H56" s="357"/>
      <c r="I56" s="357"/>
    </row>
    <row r="57" spans="1:9" ht="30" x14ac:dyDescent="0.25">
      <c r="A57" s="655"/>
      <c r="B57" s="655"/>
      <c r="C57" s="655"/>
      <c r="D57" s="357" t="s">
        <v>610</v>
      </c>
      <c r="E57" s="361" t="s">
        <v>495</v>
      </c>
      <c r="F57" s="357" t="s">
        <v>191</v>
      </c>
      <c r="G57" s="357" t="s">
        <v>1026</v>
      </c>
      <c r="H57" s="357"/>
      <c r="I57" s="357"/>
    </row>
    <row r="58" spans="1:9" ht="30" x14ac:dyDescent="0.25">
      <c r="A58" s="655"/>
      <c r="B58" s="655"/>
      <c r="C58" s="655"/>
      <c r="D58" s="357" t="s">
        <v>611</v>
      </c>
      <c r="E58" s="361" t="s">
        <v>635</v>
      </c>
      <c r="F58" s="357" t="s">
        <v>636</v>
      </c>
      <c r="G58" s="357" t="s">
        <v>649</v>
      </c>
      <c r="H58" s="357"/>
      <c r="I58" s="357"/>
    </row>
    <row r="59" spans="1:9" ht="30" x14ac:dyDescent="0.25">
      <c r="A59" s="655"/>
      <c r="B59" s="655"/>
      <c r="C59" s="655"/>
      <c r="D59" s="357" t="s">
        <v>640</v>
      </c>
      <c r="E59" s="361" t="s">
        <v>644</v>
      </c>
      <c r="F59" s="357" t="s">
        <v>645</v>
      </c>
      <c r="G59" s="357" t="s">
        <v>650</v>
      </c>
      <c r="H59" s="357"/>
      <c r="I59" s="357" t="s">
        <v>912</v>
      </c>
    </row>
    <row r="60" spans="1:9" ht="30" x14ac:dyDescent="0.25">
      <c r="A60" s="655"/>
      <c r="B60" s="655"/>
      <c r="C60" s="655"/>
      <c r="D60" s="357" t="s">
        <v>1102</v>
      </c>
      <c r="E60" s="361" t="s">
        <v>1107</v>
      </c>
      <c r="F60" s="357" t="s">
        <v>1101</v>
      </c>
      <c r="G60" s="357" t="s">
        <v>1106</v>
      </c>
      <c r="H60" s="357"/>
      <c r="I60" s="357" t="s">
        <v>912</v>
      </c>
    </row>
    <row r="61" spans="1:9" ht="30" x14ac:dyDescent="0.25">
      <c r="A61" s="655"/>
      <c r="B61" s="655"/>
      <c r="C61" s="655"/>
      <c r="D61" s="357" t="s">
        <v>612</v>
      </c>
      <c r="E61" s="361" t="s">
        <v>1109</v>
      </c>
      <c r="F61" s="357" t="s">
        <v>493</v>
      </c>
      <c r="G61" s="357" t="s">
        <v>630</v>
      </c>
      <c r="H61" s="357"/>
      <c r="I61" s="357"/>
    </row>
    <row r="62" spans="1:9" ht="30" x14ac:dyDescent="0.25">
      <c r="A62" s="655"/>
      <c r="B62" s="655"/>
      <c r="C62" s="655"/>
      <c r="D62" s="357" t="s">
        <v>613</v>
      </c>
      <c r="E62" s="361" t="s">
        <v>1110</v>
      </c>
      <c r="F62" s="357" t="s">
        <v>191</v>
      </c>
      <c r="G62" s="357" t="s">
        <v>625</v>
      </c>
      <c r="H62" s="357"/>
      <c r="I62" s="357"/>
    </row>
    <row r="63" spans="1:9" ht="30" x14ac:dyDescent="0.25">
      <c r="A63" s="655"/>
      <c r="B63" s="655"/>
      <c r="C63" s="655"/>
      <c r="D63" s="357" t="s">
        <v>614</v>
      </c>
      <c r="E63" s="361" t="s">
        <v>1111</v>
      </c>
      <c r="F63" s="357" t="s">
        <v>636</v>
      </c>
      <c r="G63" s="357" t="s">
        <v>651</v>
      </c>
      <c r="H63" s="357"/>
      <c r="I63" s="357"/>
    </row>
    <row r="64" spans="1:9" ht="30" x14ac:dyDescent="0.25">
      <c r="A64" s="655"/>
      <c r="B64" s="655"/>
      <c r="C64" s="655"/>
      <c r="D64" s="357" t="s">
        <v>641</v>
      </c>
      <c r="E64" s="361" t="s">
        <v>1112</v>
      </c>
      <c r="F64" s="357" t="s">
        <v>645</v>
      </c>
      <c r="G64" s="357" t="s">
        <v>652</v>
      </c>
      <c r="H64" s="357"/>
      <c r="I64" s="357" t="s">
        <v>912</v>
      </c>
    </row>
    <row r="65" spans="1:9" ht="30" x14ac:dyDescent="0.25">
      <c r="A65" s="655"/>
      <c r="B65" s="655"/>
      <c r="C65" s="655"/>
      <c r="D65" s="357" t="s">
        <v>1104</v>
      </c>
      <c r="E65" s="361" t="s">
        <v>1108</v>
      </c>
      <c r="F65" s="357" t="s">
        <v>1101</v>
      </c>
      <c r="G65" s="357" t="s">
        <v>1105</v>
      </c>
      <c r="H65" s="357"/>
      <c r="I65" s="357" t="s">
        <v>912</v>
      </c>
    </row>
    <row r="66" spans="1:9" ht="30" x14ac:dyDescent="0.25">
      <c r="A66" s="655"/>
      <c r="B66" s="655"/>
      <c r="C66" s="655"/>
      <c r="D66" s="357" t="s">
        <v>615</v>
      </c>
      <c r="E66" s="361" t="s">
        <v>631</v>
      </c>
      <c r="F66" s="357" t="s">
        <v>493</v>
      </c>
      <c r="G66" s="357" t="s">
        <v>628</v>
      </c>
      <c r="H66" s="357"/>
      <c r="I66" s="357"/>
    </row>
    <row r="67" spans="1:9" ht="30" x14ac:dyDescent="0.25">
      <c r="A67" s="655"/>
      <c r="B67" s="655"/>
      <c r="C67" s="655"/>
      <c r="D67" s="357" t="s">
        <v>616</v>
      </c>
      <c r="E67" s="361" t="s">
        <v>633</v>
      </c>
      <c r="F67" s="357" t="s">
        <v>191</v>
      </c>
      <c r="G67" s="357" t="s">
        <v>626</v>
      </c>
      <c r="H67" s="357"/>
      <c r="I67" s="357"/>
    </row>
    <row r="68" spans="1:9" ht="30" x14ac:dyDescent="0.25">
      <c r="A68" s="655"/>
      <c r="B68" s="655"/>
      <c r="C68" s="655"/>
      <c r="D68" s="357" t="s">
        <v>617</v>
      </c>
      <c r="E68" s="361" t="s">
        <v>638</v>
      </c>
      <c r="F68" s="357" t="s">
        <v>636</v>
      </c>
      <c r="G68" s="357" t="s">
        <v>653</v>
      </c>
      <c r="H68" s="357"/>
      <c r="I68" s="357"/>
    </row>
    <row r="69" spans="1:9" ht="60" x14ac:dyDescent="0.25">
      <c r="A69" s="655"/>
      <c r="B69" s="655"/>
      <c r="C69" s="655"/>
      <c r="D69" s="357" t="s">
        <v>642</v>
      </c>
      <c r="E69" s="361" t="s">
        <v>647</v>
      </c>
      <c r="F69" s="357" t="s">
        <v>645</v>
      </c>
      <c r="G69" s="357" t="s">
        <v>654</v>
      </c>
      <c r="H69" s="357"/>
      <c r="I69" s="357" t="s">
        <v>1100</v>
      </c>
    </row>
    <row r="70" spans="1:9" ht="30" x14ac:dyDescent="0.25">
      <c r="A70" s="655"/>
      <c r="B70" s="655"/>
      <c r="C70" s="655"/>
      <c r="D70" s="357" t="s">
        <v>618</v>
      </c>
      <c r="E70" s="361" t="s">
        <v>632</v>
      </c>
      <c r="F70" s="357" t="s">
        <v>493</v>
      </c>
      <c r="G70" s="357" t="s">
        <v>629</v>
      </c>
      <c r="H70" s="357"/>
      <c r="I70" s="357"/>
    </row>
    <row r="71" spans="1:9" ht="30" x14ac:dyDescent="0.25">
      <c r="A71" s="655"/>
      <c r="B71" s="655"/>
      <c r="C71" s="655"/>
      <c r="D71" s="357" t="s">
        <v>619</v>
      </c>
      <c r="E71" s="361" t="s">
        <v>634</v>
      </c>
      <c r="F71" s="357" t="s">
        <v>191</v>
      </c>
      <c r="G71" s="357" t="s">
        <v>627</v>
      </c>
      <c r="H71" s="357"/>
      <c r="I71" s="357"/>
    </row>
    <row r="72" spans="1:9" ht="30" x14ac:dyDescent="0.25">
      <c r="A72" s="655"/>
      <c r="B72" s="655"/>
      <c r="C72" s="655"/>
      <c r="D72" s="357" t="s">
        <v>620</v>
      </c>
      <c r="E72" s="361" t="s">
        <v>639</v>
      </c>
      <c r="F72" s="357" t="s">
        <v>636</v>
      </c>
      <c r="G72" s="357" t="s">
        <v>655</v>
      </c>
      <c r="H72" s="357"/>
      <c r="I72" s="357"/>
    </row>
    <row r="73" spans="1:9" ht="30" x14ac:dyDescent="0.25">
      <c r="A73" s="655"/>
      <c r="B73" s="655"/>
      <c r="C73" s="655"/>
      <c r="D73" s="357" t="s">
        <v>643</v>
      </c>
      <c r="E73" s="361" t="s">
        <v>648</v>
      </c>
      <c r="F73" s="357" t="s">
        <v>645</v>
      </c>
      <c r="G73" s="357" t="s">
        <v>656</v>
      </c>
      <c r="H73" s="357"/>
      <c r="I73" s="357"/>
    </row>
    <row r="74" spans="1:9" ht="30" x14ac:dyDescent="0.25">
      <c r="A74" s="655"/>
      <c r="B74" s="655"/>
      <c r="C74" s="655"/>
      <c r="D74" s="357" t="s">
        <v>801</v>
      </c>
      <c r="E74" s="361" t="s">
        <v>800</v>
      </c>
      <c r="F74" s="357" t="s">
        <v>645</v>
      </c>
      <c r="G74" s="357" t="s">
        <v>802</v>
      </c>
      <c r="H74" s="357"/>
      <c r="I74" s="357" t="s">
        <v>933</v>
      </c>
    </row>
    <row r="75" spans="1:9" ht="75" x14ac:dyDescent="0.25">
      <c r="A75" s="655"/>
      <c r="B75" s="655"/>
      <c r="C75" s="655"/>
      <c r="D75" s="357" t="s">
        <v>621</v>
      </c>
      <c r="E75" s="361" t="s">
        <v>657</v>
      </c>
      <c r="F75" s="357" t="s">
        <v>645</v>
      </c>
      <c r="G75" s="357" t="s">
        <v>1115</v>
      </c>
      <c r="H75" s="357"/>
      <c r="I75" s="357" t="s">
        <v>1116</v>
      </c>
    </row>
    <row r="76" spans="1:9" ht="28.5" customHeight="1" x14ac:dyDescent="0.25">
      <c r="A76" s="655"/>
      <c r="B76" s="655"/>
      <c r="C76" s="655" t="s">
        <v>661</v>
      </c>
      <c r="D76" s="357" t="s">
        <v>622</v>
      </c>
      <c r="E76" s="361" t="s">
        <v>505</v>
      </c>
      <c r="F76" s="357" t="s">
        <v>498</v>
      </c>
      <c r="G76" s="357" t="s">
        <v>662</v>
      </c>
      <c r="H76" s="357"/>
      <c r="I76" s="357" t="s">
        <v>935</v>
      </c>
    </row>
    <row r="77" spans="1:9" x14ac:dyDescent="0.25">
      <c r="A77" s="655"/>
      <c r="B77" s="655"/>
      <c r="C77" s="655"/>
      <c r="D77" s="357" t="s">
        <v>623</v>
      </c>
      <c r="E77" s="361" t="s">
        <v>658</v>
      </c>
      <c r="F77" s="357" t="s">
        <v>498</v>
      </c>
      <c r="G77" s="357" t="s">
        <v>663</v>
      </c>
      <c r="H77" s="357"/>
      <c r="I77" s="357" t="s">
        <v>935</v>
      </c>
    </row>
    <row r="78" spans="1:9" ht="60" x14ac:dyDescent="0.25">
      <c r="A78" s="655"/>
      <c r="B78" s="655"/>
      <c r="C78" s="357" t="s">
        <v>1027</v>
      </c>
      <c r="D78" s="357" t="s">
        <v>624</v>
      </c>
      <c r="E78" s="361" t="s">
        <v>1029</v>
      </c>
      <c r="F78" s="357" t="s">
        <v>499</v>
      </c>
      <c r="G78" s="357" t="s">
        <v>1028</v>
      </c>
      <c r="H78" s="357"/>
      <c r="I78" s="357" t="s">
        <v>1119</v>
      </c>
    </row>
    <row r="79" spans="1:9" ht="105" customHeight="1" x14ac:dyDescent="0.25">
      <c r="A79" s="655" t="s">
        <v>501</v>
      </c>
      <c r="B79" s="655" t="s">
        <v>502</v>
      </c>
      <c r="C79" s="655" t="s">
        <v>1030</v>
      </c>
      <c r="D79" s="357" t="s">
        <v>879</v>
      </c>
      <c r="E79" s="361" t="s">
        <v>881</v>
      </c>
      <c r="F79" s="357" t="s">
        <v>473</v>
      </c>
      <c r="G79" s="357" t="s">
        <v>882</v>
      </c>
      <c r="H79" s="357"/>
      <c r="I79" s="357" t="s">
        <v>937</v>
      </c>
    </row>
    <row r="80" spans="1:9" ht="30" customHeight="1" x14ac:dyDescent="0.25">
      <c r="A80" s="655"/>
      <c r="B80" s="655"/>
      <c r="C80" s="655"/>
      <c r="D80" s="655" t="s">
        <v>880</v>
      </c>
      <c r="E80" s="656" t="s">
        <v>902</v>
      </c>
      <c r="F80" s="655" t="s">
        <v>473</v>
      </c>
      <c r="G80" s="655" t="s">
        <v>903</v>
      </c>
      <c r="H80" s="357"/>
      <c r="I80" s="357"/>
    </row>
    <row r="81" spans="1:9" ht="71.25" customHeight="1" x14ac:dyDescent="0.25">
      <c r="A81" s="655"/>
      <c r="B81" s="655" t="s">
        <v>889</v>
      </c>
      <c r="C81" s="655"/>
      <c r="D81" s="655"/>
      <c r="E81" s="656"/>
      <c r="F81" s="655"/>
      <c r="G81" s="655"/>
      <c r="H81" s="357"/>
      <c r="I81" s="357"/>
    </row>
    <row r="82" spans="1:9" x14ac:dyDescent="0.25">
      <c r="A82" s="655"/>
      <c r="B82" s="655"/>
      <c r="C82" s="655"/>
      <c r="D82" s="357" t="s">
        <v>964</v>
      </c>
      <c r="E82" s="361" t="s">
        <v>28</v>
      </c>
      <c r="F82" s="357" t="s">
        <v>965</v>
      </c>
      <c r="G82" s="357" t="s">
        <v>966</v>
      </c>
      <c r="H82" s="357"/>
      <c r="I82" s="357"/>
    </row>
    <row r="83" spans="1:9" ht="75" x14ac:dyDescent="0.25">
      <c r="A83" s="655"/>
      <c r="B83" s="357" t="s">
        <v>503</v>
      </c>
      <c r="C83" s="357" t="s">
        <v>939</v>
      </c>
      <c r="D83" s="357" t="s">
        <v>878</v>
      </c>
      <c r="E83" s="361" t="s">
        <v>877</v>
      </c>
      <c r="F83" s="357" t="s">
        <v>473</v>
      </c>
      <c r="G83" s="357" t="s">
        <v>1031</v>
      </c>
      <c r="H83" s="357"/>
      <c r="I83" s="357"/>
    </row>
    <row r="84" spans="1:9" ht="75" x14ac:dyDescent="0.25">
      <c r="A84" s="655"/>
      <c r="B84" s="357" t="s">
        <v>504</v>
      </c>
      <c r="C84" s="357" t="s">
        <v>938</v>
      </c>
      <c r="D84" s="357" t="s">
        <v>883</v>
      </c>
      <c r="E84" s="361" t="s">
        <v>884</v>
      </c>
      <c r="F84" s="357" t="s">
        <v>473</v>
      </c>
      <c r="G84" s="357" t="s">
        <v>1032</v>
      </c>
      <c r="H84" s="357"/>
      <c r="I84" s="357" t="s">
        <v>940</v>
      </c>
    </row>
    <row r="85" spans="1:9" ht="75" x14ac:dyDescent="0.25">
      <c r="A85" s="655"/>
      <c r="B85" s="356" t="s">
        <v>887</v>
      </c>
      <c r="C85" s="357" t="s">
        <v>1033</v>
      </c>
      <c r="D85" s="357" t="s">
        <v>888</v>
      </c>
      <c r="E85" s="361" t="s">
        <v>1054</v>
      </c>
      <c r="F85" s="357" t="s">
        <v>886</v>
      </c>
      <c r="G85" s="357" t="s">
        <v>1055</v>
      </c>
      <c r="H85" s="357"/>
    </row>
  </sheetData>
  <mergeCells count="43">
    <mergeCell ref="D80:D81"/>
    <mergeCell ref="E80:E81"/>
    <mergeCell ref="F80:F81"/>
    <mergeCell ref="G80:G81"/>
    <mergeCell ref="B81:B82"/>
    <mergeCell ref="A54:A78"/>
    <mergeCell ref="B54:B78"/>
    <mergeCell ref="C54:C75"/>
    <mergeCell ref="C76:C77"/>
    <mergeCell ref="A79:A85"/>
    <mergeCell ref="B79:B80"/>
    <mergeCell ref="C79:C82"/>
    <mergeCell ref="B40:B41"/>
    <mergeCell ref="C40:C41"/>
    <mergeCell ref="A43:A53"/>
    <mergeCell ref="B43:B53"/>
    <mergeCell ref="C43:C46"/>
    <mergeCell ref="C47:C49"/>
    <mergeCell ref="C50:C53"/>
    <mergeCell ref="A26:A37"/>
    <mergeCell ref="B27:B28"/>
    <mergeCell ref="G29:G31"/>
    <mergeCell ref="G32:G34"/>
    <mergeCell ref="B35:B36"/>
    <mergeCell ref="C35:C36"/>
    <mergeCell ref="I15:I16"/>
    <mergeCell ref="B17:B18"/>
    <mergeCell ref="A19:A25"/>
    <mergeCell ref="B19:B23"/>
    <mergeCell ref="C22:C23"/>
    <mergeCell ref="B24:B25"/>
    <mergeCell ref="A14:A18"/>
    <mergeCell ref="C14:C16"/>
    <mergeCell ref="D15:D16"/>
    <mergeCell ref="E15:E16"/>
    <mergeCell ref="F15:F16"/>
    <mergeCell ref="G15:G16"/>
    <mergeCell ref="A2:A13"/>
    <mergeCell ref="B2:B6"/>
    <mergeCell ref="C2:C5"/>
    <mergeCell ref="B7:B13"/>
    <mergeCell ref="C8:C10"/>
    <mergeCell ref="C12:C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zoomScale="60" zoomScaleNormal="60" workbookViewId="0">
      <pane xSplit="3" ySplit="1" topLeftCell="D29" activePane="bottomRight" state="frozen"/>
      <selection pane="topRight" activeCell="C1" sqref="C1"/>
      <selection pane="bottomLeft" activeCell="A2" sqref="A2"/>
      <selection pane="bottomRight" activeCell="E77" sqref="E77"/>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59" customWidth="1"/>
    <col min="6" max="6" width="25.5703125" style="559" customWidth="1"/>
    <col min="7" max="7" width="27.5703125" style="559" customWidth="1"/>
    <col min="8" max="8" width="25.85546875" style="559" customWidth="1"/>
    <col min="9" max="9" width="30.140625" style="559" customWidth="1"/>
    <col min="10" max="11" width="26.5703125" style="570" customWidth="1"/>
    <col min="12" max="12" width="25.140625" style="570" customWidth="1"/>
    <col min="13" max="13" width="19.85546875" style="570" customWidth="1"/>
    <col min="14" max="14" width="9" style="570"/>
    <col min="15" max="16384" width="9" style="355"/>
  </cols>
  <sheetData>
    <row r="1" spans="1:14" s="558" customFormat="1" ht="123" customHeight="1" x14ac:dyDescent="0.25">
      <c r="A1" s="359"/>
      <c r="B1" s="359"/>
      <c r="C1" s="359" t="s">
        <v>190</v>
      </c>
      <c r="D1" s="88" t="s">
        <v>1524</v>
      </c>
      <c r="E1" s="364" t="s">
        <v>136</v>
      </c>
      <c r="F1" s="364" t="s">
        <v>137</v>
      </c>
      <c r="G1" s="364" t="s">
        <v>138</v>
      </c>
      <c r="H1" s="359" t="s">
        <v>139</v>
      </c>
      <c r="I1" s="364" t="s">
        <v>140</v>
      </c>
      <c r="J1" s="567" t="s">
        <v>1439</v>
      </c>
      <c r="K1" s="567"/>
      <c r="L1" s="567" t="s">
        <v>1440</v>
      </c>
      <c r="M1" s="568"/>
      <c r="N1" s="568"/>
    </row>
    <row r="2" spans="1:14" x14ac:dyDescent="0.25">
      <c r="A2" s="359"/>
      <c r="B2" s="359"/>
      <c r="C2" s="555" t="s">
        <v>158</v>
      </c>
      <c r="E2" s="559" t="s">
        <v>153</v>
      </c>
      <c r="F2" s="559" t="s">
        <v>153</v>
      </c>
      <c r="G2" s="559" t="s">
        <v>153</v>
      </c>
      <c r="H2" s="559" t="s">
        <v>153</v>
      </c>
      <c r="I2" s="559" t="s">
        <v>153</v>
      </c>
      <c r="J2" s="569" t="s">
        <v>1438</v>
      </c>
      <c r="K2" s="569" t="s">
        <v>1437</v>
      </c>
      <c r="L2" s="569" t="s">
        <v>1438</v>
      </c>
      <c r="M2" s="569" t="s">
        <v>1437</v>
      </c>
    </row>
    <row r="3" spans="1:14" x14ac:dyDescent="0.25">
      <c r="A3" s="659" t="s">
        <v>142</v>
      </c>
      <c r="B3" s="658" t="s">
        <v>9</v>
      </c>
      <c r="C3" s="533" t="s">
        <v>1498</v>
      </c>
      <c r="D3" s="90"/>
      <c r="E3" s="536">
        <v>0.7646082852410363</v>
      </c>
      <c r="F3" s="536">
        <v>1</v>
      </c>
      <c r="G3" s="536">
        <v>1.4030858717560482</v>
      </c>
      <c r="H3" s="536">
        <v>1.029785920744843</v>
      </c>
      <c r="I3" s="536">
        <v>0.81822734357148763</v>
      </c>
      <c r="J3" s="657"/>
      <c r="K3" s="657"/>
      <c r="L3" s="657"/>
      <c r="M3" s="657"/>
    </row>
    <row r="4" spans="1:14" x14ac:dyDescent="0.25">
      <c r="A4" s="659"/>
      <c r="B4" s="658"/>
      <c r="C4" s="562" t="s">
        <v>7</v>
      </c>
      <c r="D4" s="365"/>
      <c r="E4" s="540"/>
      <c r="F4" s="540"/>
      <c r="G4" s="540"/>
      <c r="H4" s="540"/>
      <c r="I4" s="540"/>
      <c r="J4" s="571"/>
      <c r="K4" s="571"/>
      <c r="L4" s="571"/>
      <c r="M4" s="571"/>
    </row>
    <row r="5" spans="1:14" x14ac:dyDescent="0.25">
      <c r="A5" s="659"/>
      <c r="B5" s="658"/>
      <c r="C5" s="365" t="s">
        <v>6</v>
      </c>
      <c r="D5" s="365"/>
      <c r="E5" s="540"/>
      <c r="F5" s="540"/>
      <c r="G5" s="540"/>
      <c r="H5" s="540"/>
      <c r="I5" s="540"/>
      <c r="J5" s="571"/>
      <c r="K5" s="571"/>
      <c r="L5" s="571"/>
      <c r="M5" s="571"/>
    </row>
    <row r="6" spans="1:14" x14ac:dyDescent="0.25">
      <c r="A6" s="659"/>
      <c r="B6" s="658"/>
      <c r="C6" s="365" t="s">
        <v>5</v>
      </c>
      <c r="D6" s="365"/>
      <c r="E6" s="540"/>
      <c r="F6" s="540"/>
      <c r="G6" s="540"/>
      <c r="H6" s="540"/>
      <c r="I6" s="540"/>
      <c r="J6" s="571"/>
      <c r="K6" s="571"/>
      <c r="L6" s="571"/>
      <c r="M6" s="571"/>
    </row>
    <row r="7" spans="1:14" x14ac:dyDescent="0.25">
      <c r="A7" s="659"/>
      <c r="B7" s="659" t="s">
        <v>141</v>
      </c>
      <c r="C7" s="90" t="s">
        <v>1518</v>
      </c>
      <c r="D7" s="90"/>
      <c r="E7" s="536">
        <v>0.51749002734395078</v>
      </c>
      <c r="F7" s="536">
        <v>1</v>
      </c>
      <c r="G7" s="536">
        <v>4.5943082760197278</v>
      </c>
      <c r="H7" s="536">
        <v>3.1462289980559746</v>
      </c>
      <c r="I7" s="536">
        <v>0.51319261447510423</v>
      </c>
      <c r="J7" s="657"/>
      <c r="K7" s="657"/>
      <c r="L7" s="657"/>
      <c r="M7" s="657"/>
    </row>
    <row r="8" spans="1:14" s="358" customFormat="1" x14ac:dyDescent="0.25">
      <c r="A8" s="659"/>
      <c r="B8" s="659"/>
      <c r="C8" s="365" t="s">
        <v>33</v>
      </c>
      <c r="D8" s="365"/>
      <c r="E8" s="540"/>
      <c r="F8" s="540"/>
      <c r="G8" s="540"/>
      <c r="H8" s="540"/>
      <c r="I8" s="540"/>
      <c r="J8" s="571"/>
      <c r="K8" s="571"/>
      <c r="L8" s="571"/>
      <c r="M8" s="571"/>
      <c r="N8" s="572"/>
    </row>
    <row r="9" spans="1:14" s="358" customFormat="1" x14ac:dyDescent="0.25">
      <c r="A9" s="659"/>
      <c r="B9" s="659"/>
      <c r="C9" s="365" t="s">
        <v>34</v>
      </c>
      <c r="D9" s="365"/>
      <c r="E9" s="540"/>
      <c r="F9" s="540"/>
      <c r="G9" s="540"/>
      <c r="H9" s="540"/>
      <c r="I9" s="540"/>
      <c r="J9" s="571"/>
      <c r="K9" s="571"/>
      <c r="L9" s="571"/>
      <c r="M9" s="571"/>
      <c r="N9" s="572"/>
    </row>
    <row r="10" spans="1:14" s="358" customFormat="1" x14ac:dyDescent="0.25">
      <c r="A10" s="659"/>
      <c r="B10" s="659"/>
      <c r="C10" s="92" t="s">
        <v>1519</v>
      </c>
      <c r="D10" s="92"/>
      <c r="E10" s="536">
        <v>0.58805185729009313</v>
      </c>
      <c r="F10" s="536">
        <v>1</v>
      </c>
      <c r="G10" s="536">
        <v>1.0952830559718276</v>
      </c>
      <c r="H10" s="536">
        <v>0.58619981121534159</v>
      </c>
      <c r="I10" s="536">
        <v>0.6123263675290388</v>
      </c>
      <c r="J10" s="573"/>
      <c r="K10" s="573"/>
      <c r="L10" s="573"/>
      <c r="M10" s="573"/>
      <c r="N10" s="572"/>
    </row>
    <row r="11" spans="1:14" s="358" customFormat="1" x14ac:dyDescent="0.25">
      <c r="A11" s="659"/>
      <c r="B11" s="659"/>
      <c r="C11" s="365" t="s">
        <v>35</v>
      </c>
      <c r="D11" s="365"/>
      <c r="E11" s="540"/>
      <c r="F11" s="540"/>
      <c r="G11" s="540"/>
      <c r="H11" s="540"/>
      <c r="I11" s="540"/>
      <c r="J11" s="571"/>
      <c r="K11" s="571"/>
      <c r="L11" s="571"/>
      <c r="M11" s="571"/>
      <c r="N11" s="572"/>
    </row>
    <row r="12" spans="1:14" x14ac:dyDescent="0.25">
      <c r="A12" s="659"/>
      <c r="B12" s="659"/>
      <c r="C12" s="365" t="s">
        <v>36</v>
      </c>
      <c r="D12" s="365"/>
      <c r="E12" s="540"/>
      <c r="F12" s="540"/>
      <c r="G12" s="540"/>
      <c r="H12" s="540"/>
      <c r="I12" s="540"/>
      <c r="J12" s="571"/>
      <c r="K12" s="571"/>
      <c r="L12" s="571"/>
      <c r="M12" s="571"/>
    </row>
    <row r="13" spans="1:14" x14ac:dyDescent="0.25">
      <c r="A13" s="659"/>
      <c r="B13" s="659"/>
      <c r="C13" s="365" t="s">
        <v>1534</v>
      </c>
      <c r="D13" s="365"/>
      <c r="E13" s="540"/>
      <c r="F13" s="540"/>
      <c r="G13" s="540"/>
      <c r="H13" s="540"/>
      <c r="I13" s="540"/>
      <c r="J13" s="571"/>
      <c r="K13" s="571"/>
      <c r="L13" s="571"/>
      <c r="M13" s="571"/>
    </row>
    <row r="14" spans="1:14" x14ac:dyDescent="0.25">
      <c r="A14" s="659"/>
      <c r="B14" s="659"/>
      <c r="C14" s="92" t="s">
        <v>1520</v>
      </c>
      <c r="D14" s="92"/>
      <c r="E14" s="536">
        <v>1.1602782711436583</v>
      </c>
      <c r="F14" s="536">
        <v>1</v>
      </c>
      <c r="G14" s="536">
        <v>0.37486174033908626</v>
      </c>
      <c r="H14" s="536">
        <v>0.50661760286838453</v>
      </c>
      <c r="I14" s="536">
        <v>1.2396188572751115</v>
      </c>
      <c r="J14" s="573"/>
      <c r="K14" s="573"/>
      <c r="L14" s="573"/>
      <c r="M14" s="573"/>
    </row>
    <row r="15" spans="1:14" x14ac:dyDescent="0.25">
      <c r="A15" s="659"/>
      <c r="B15" s="659"/>
      <c r="C15" s="365" t="s">
        <v>37</v>
      </c>
      <c r="D15" s="365"/>
      <c r="E15" s="540"/>
      <c r="F15" s="540"/>
      <c r="G15" s="540"/>
      <c r="H15" s="540"/>
      <c r="I15" s="540"/>
      <c r="J15" s="571"/>
      <c r="K15" s="571"/>
      <c r="L15" s="571"/>
      <c r="M15" s="571"/>
    </row>
    <row r="16" spans="1:14" x14ac:dyDescent="0.25">
      <c r="A16" s="659"/>
      <c r="B16" s="659"/>
      <c r="C16" s="365" t="s">
        <v>38</v>
      </c>
      <c r="D16" s="365"/>
      <c r="E16" s="540"/>
      <c r="F16" s="540"/>
      <c r="G16" s="540"/>
      <c r="H16" s="540"/>
      <c r="I16" s="540"/>
      <c r="J16" s="571"/>
      <c r="K16" s="571"/>
      <c r="L16" s="571"/>
      <c r="M16" s="571"/>
    </row>
    <row r="17" spans="1:14" x14ac:dyDescent="0.25">
      <c r="A17" s="659"/>
      <c r="B17" s="659"/>
      <c r="C17" s="365" t="s">
        <v>1533</v>
      </c>
      <c r="D17" s="365"/>
      <c r="E17" s="540"/>
      <c r="F17" s="540"/>
      <c r="G17" s="540"/>
      <c r="H17" s="540"/>
      <c r="I17" s="540"/>
      <c r="J17" s="571"/>
      <c r="K17" s="571"/>
      <c r="L17" s="571"/>
      <c r="M17" s="571"/>
    </row>
    <row r="18" spans="1:14" x14ac:dyDescent="0.25">
      <c r="A18" s="659"/>
      <c r="B18" s="658" t="s">
        <v>10</v>
      </c>
      <c r="C18" s="90" t="s">
        <v>1499</v>
      </c>
      <c r="D18" s="90"/>
      <c r="E18" s="536">
        <v>1.3063596491228069</v>
      </c>
      <c r="F18" s="536">
        <v>1</v>
      </c>
      <c r="G18" s="536">
        <v>0.46271929824561403</v>
      </c>
      <c r="H18" s="536">
        <v>0.55679824561403513</v>
      </c>
      <c r="I18" s="536">
        <v>2.1890350877192981</v>
      </c>
      <c r="J18" s="657"/>
      <c r="K18" s="657"/>
      <c r="L18" s="657"/>
      <c r="M18" s="657"/>
    </row>
    <row r="19" spans="1:14" s="358" customFormat="1" x14ac:dyDescent="0.25">
      <c r="A19" s="659"/>
      <c r="B19" s="658"/>
      <c r="C19" s="365" t="s">
        <v>39</v>
      </c>
      <c r="D19" s="365"/>
      <c r="E19" s="540"/>
      <c r="F19" s="540"/>
      <c r="G19" s="540"/>
      <c r="H19" s="540"/>
      <c r="I19" s="540"/>
      <c r="J19" s="574"/>
      <c r="K19" s="571"/>
      <c r="L19" s="571"/>
      <c r="M19" s="571"/>
      <c r="N19" s="572"/>
    </row>
    <row r="20" spans="1:14" s="358" customFormat="1" x14ac:dyDescent="0.25">
      <c r="A20" s="659"/>
      <c r="B20" s="658"/>
      <c r="C20" s="365" t="s">
        <v>40</v>
      </c>
      <c r="D20" s="365"/>
      <c r="E20" s="540"/>
      <c r="F20" s="540"/>
      <c r="G20" s="540"/>
      <c r="H20" s="540"/>
      <c r="I20" s="540"/>
      <c r="J20" s="571"/>
      <c r="K20" s="571"/>
      <c r="L20" s="571"/>
      <c r="M20" s="571"/>
      <c r="N20" s="572"/>
    </row>
    <row r="21" spans="1:14" s="358" customFormat="1" x14ac:dyDescent="0.25">
      <c r="A21" s="659"/>
      <c r="B21" s="658" t="s">
        <v>170</v>
      </c>
      <c r="C21" s="90" t="s">
        <v>1500</v>
      </c>
      <c r="D21" s="90"/>
      <c r="E21" s="536">
        <v>0.96521594407922107</v>
      </c>
      <c r="F21" s="536">
        <v>1</v>
      </c>
      <c r="G21" s="536">
        <v>0.93367729050511772</v>
      </c>
      <c r="H21" s="536">
        <v>1.0158109345094448</v>
      </c>
      <c r="I21" s="536">
        <v>1.1427144878089373</v>
      </c>
      <c r="J21" s="657"/>
      <c r="K21" s="657"/>
      <c r="L21" s="657"/>
      <c r="M21" s="657"/>
      <c r="N21" s="572"/>
    </row>
    <row r="22" spans="1:14" s="358" customFormat="1" x14ac:dyDescent="0.25">
      <c r="A22" s="659"/>
      <c r="B22" s="658"/>
      <c r="C22" s="89" t="s">
        <v>97</v>
      </c>
      <c r="D22" s="89">
        <v>0.5</v>
      </c>
      <c r="E22" s="535">
        <v>-0.1</v>
      </c>
      <c r="F22" s="535">
        <v>0</v>
      </c>
      <c r="G22" s="535">
        <v>-0.25</v>
      </c>
      <c r="H22" s="535">
        <v>0.05</v>
      </c>
      <c r="I22" s="535">
        <v>0.5</v>
      </c>
      <c r="J22" s="575">
        <f>MROUND(E22,0.05*SIGN(E22))</f>
        <v>-0.1</v>
      </c>
      <c r="K22" s="575">
        <f t="shared" ref="K22:N23" si="0">MROUND(F22,0.05*SIGN(F22))</f>
        <v>0</v>
      </c>
      <c r="L22" s="575">
        <f t="shared" si="0"/>
        <v>-0.25</v>
      </c>
      <c r="M22" s="575">
        <f t="shared" si="0"/>
        <v>0.05</v>
      </c>
      <c r="N22" s="575">
        <f t="shared" si="0"/>
        <v>0.5</v>
      </c>
    </row>
    <row r="23" spans="1:14" x14ac:dyDescent="0.25">
      <c r="A23" s="659"/>
      <c r="B23" s="658"/>
      <c r="C23" s="50" t="s">
        <v>98</v>
      </c>
      <c r="D23" s="89">
        <v>0.5</v>
      </c>
      <c r="E23" s="535">
        <v>0.1</v>
      </c>
      <c r="F23" s="535">
        <v>0</v>
      </c>
      <c r="G23" s="535">
        <v>0.25</v>
      </c>
      <c r="H23" s="535">
        <v>-0.05</v>
      </c>
      <c r="I23" s="535">
        <v>-0.5</v>
      </c>
      <c r="J23" s="575">
        <f>MROUND(E23,0.05*SIGN(E23))</f>
        <v>0.1</v>
      </c>
      <c r="K23" s="575">
        <f t="shared" si="0"/>
        <v>0</v>
      </c>
      <c r="L23" s="575">
        <f t="shared" si="0"/>
        <v>0.25</v>
      </c>
      <c r="M23" s="575">
        <f t="shared" si="0"/>
        <v>-0.05</v>
      </c>
      <c r="N23" s="575">
        <f t="shared" si="0"/>
        <v>-0.5</v>
      </c>
    </row>
    <row r="24" spans="1:14" x14ac:dyDescent="0.25">
      <c r="A24" s="659"/>
      <c r="B24" s="660"/>
      <c r="C24" s="48" t="s">
        <v>1501</v>
      </c>
      <c r="D24" s="92"/>
      <c r="E24" s="536">
        <v>0.51129549001889429</v>
      </c>
      <c r="F24" s="536">
        <v>1</v>
      </c>
      <c r="G24" s="536">
        <v>0.79990552862893283</v>
      </c>
      <c r="H24" s="536">
        <v>0.72495481803992445</v>
      </c>
      <c r="I24" s="536">
        <v>1.2235685533557874</v>
      </c>
      <c r="J24" s="657"/>
      <c r="K24" s="657"/>
      <c r="L24" s="657"/>
      <c r="M24" s="657"/>
    </row>
    <row r="25" spans="1:14" x14ac:dyDescent="0.25">
      <c r="A25" s="659"/>
      <c r="B25" s="660"/>
      <c r="C25" s="48" t="s">
        <v>1502</v>
      </c>
      <c r="D25" s="92"/>
      <c r="E25" s="536">
        <v>0.18160811761160039</v>
      </c>
      <c r="F25" s="536">
        <v>1</v>
      </c>
      <c r="G25" s="536">
        <v>0.68597836643113086</v>
      </c>
      <c r="H25" s="536">
        <v>0.67760624225578514</v>
      </c>
      <c r="I25" s="536">
        <v>0.65570476541308065</v>
      </c>
      <c r="J25" s="576"/>
      <c r="K25" s="576"/>
      <c r="L25" s="576"/>
      <c r="M25" s="576"/>
    </row>
    <row r="26" spans="1:14" x14ac:dyDescent="0.25">
      <c r="A26" s="659"/>
      <c r="B26" s="660"/>
      <c r="C26" s="48" t="s">
        <v>1503</v>
      </c>
      <c r="D26" s="92"/>
      <c r="E26" s="536">
        <v>0.62563718572703975</v>
      </c>
      <c r="F26" s="536">
        <v>1</v>
      </c>
      <c r="G26" s="536">
        <v>0.73760907755666272</v>
      </c>
      <c r="H26" s="536">
        <v>0.60559283472050218</v>
      </c>
      <c r="I26" s="536">
        <v>1.2858911960372088</v>
      </c>
      <c r="J26" s="576"/>
      <c r="K26" s="576"/>
      <c r="L26" s="576"/>
      <c r="M26" s="576"/>
    </row>
    <row r="27" spans="1:14" x14ac:dyDescent="0.25">
      <c r="A27" s="659"/>
      <c r="B27" s="660"/>
      <c r="C27" s="48" t="s">
        <v>1504</v>
      </c>
      <c r="D27" s="92"/>
      <c r="E27" s="536">
        <v>0.32186916928903619</v>
      </c>
      <c r="F27" s="536">
        <v>1</v>
      </c>
      <c r="G27" s="536">
        <v>1.5116544598847088</v>
      </c>
      <c r="H27" s="536">
        <v>0.6076192597955945</v>
      </c>
      <c r="I27" s="536">
        <v>2.4734746163914343</v>
      </c>
      <c r="J27" s="576"/>
      <c r="K27" s="576"/>
      <c r="L27" s="576"/>
      <c r="M27" s="576"/>
    </row>
    <row r="28" spans="1:14" x14ac:dyDescent="0.25">
      <c r="A28" s="659"/>
      <c r="B28" s="660"/>
      <c r="C28" s="48" t="s">
        <v>1505</v>
      </c>
      <c r="D28" s="92"/>
      <c r="E28" s="536">
        <v>1.4927169094363519</v>
      </c>
      <c r="F28" s="536">
        <v>1</v>
      </c>
      <c r="G28" s="536">
        <v>3.090563647878404E-2</v>
      </c>
      <c r="H28" s="536">
        <v>0.60037998733375553</v>
      </c>
      <c r="I28" s="536">
        <v>1.024572514249525</v>
      </c>
      <c r="J28" s="576"/>
      <c r="K28" s="576"/>
      <c r="L28" s="576"/>
      <c r="M28" s="576"/>
    </row>
    <row r="29" spans="1:14" x14ac:dyDescent="0.25">
      <c r="A29" s="659"/>
      <c r="B29" s="660"/>
      <c r="C29" s="48" t="s">
        <v>1506</v>
      </c>
      <c r="D29" s="92"/>
      <c r="E29" s="536">
        <v>0.37628682996095136</v>
      </c>
      <c r="F29" s="536">
        <v>1</v>
      </c>
      <c r="G29" s="536">
        <v>5.5496390959649748E-2</v>
      </c>
      <c r="H29" s="536">
        <v>0.30753756951840017</v>
      </c>
      <c r="I29" s="536">
        <v>0.73636256064371075</v>
      </c>
      <c r="J29" s="576"/>
      <c r="K29" s="576"/>
      <c r="L29" s="576"/>
      <c r="M29" s="576"/>
    </row>
    <row r="30" spans="1:14" x14ac:dyDescent="0.25">
      <c r="A30" s="659"/>
      <c r="B30" s="660"/>
      <c r="C30" s="48" t="s">
        <v>1507</v>
      </c>
      <c r="D30" s="92"/>
      <c r="E30" s="536">
        <v>2.0918367346938775</v>
      </c>
      <c r="F30" s="536">
        <v>1</v>
      </c>
      <c r="G30" s="536">
        <v>2.5615290892476397</v>
      </c>
      <c r="H30" s="536">
        <v>1.6873286628084072</v>
      </c>
      <c r="I30" s="536">
        <v>1.1407249466950962</v>
      </c>
      <c r="J30" s="576"/>
      <c r="K30" s="576"/>
      <c r="L30" s="576"/>
      <c r="M30" s="576"/>
    </row>
    <row r="31" spans="1:14" x14ac:dyDescent="0.25">
      <c r="A31" s="659" t="s">
        <v>144</v>
      </c>
      <c r="B31" s="658" t="s">
        <v>393</v>
      </c>
      <c r="C31" s="89" t="s">
        <v>44</v>
      </c>
      <c r="D31" s="89">
        <v>0.25</v>
      </c>
      <c r="E31" s="537">
        <v>-0.25</v>
      </c>
      <c r="F31" s="537">
        <v>0</v>
      </c>
      <c r="G31" s="537">
        <v>-0.1</v>
      </c>
      <c r="H31" s="537">
        <v>-0.15000000000000002</v>
      </c>
      <c r="I31" s="537">
        <v>0.1</v>
      </c>
      <c r="J31" s="575">
        <f>MROUND(E31,0.05*SIGN(E31))</f>
        <v>-0.25</v>
      </c>
      <c r="K31" s="575">
        <f>MROUND(F31,0.05*SIGN(F31))</f>
        <v>0</v>
      </c>
      <c r="L31" s="575">
        <f>MROUND(G31,0.05*SIGN(G31))</f>
        <v>-0.1</v>
      </c>
      <c r="M31" s="575">
        <f>MROUND(H31,0.05*SIGN(H31))</f>
        <v>-0.15000000000000002</v>
      </c>
      <c r="N31" s="575">
        <f>MROUND(I31,0.05*SIGN(I31))</f>
        <v>0.1</v>
      </c>
    </row>
    <row r="32" spans="1:14" x14ac:dyDescent="0.25">
      <c r="A32" s="659"/>
      <c r="B32" s="658"/>
      <c r="C32" s="91" t="s">
        <v>45</v>
      </c>
      <c r="D32" s="91">
        <v>0.25</v>
      </c>
      <c r="E32" s="537">
        <v>-0.25</v>
      </c>
      <c r="F32" s="537">
        <v>0</v>
      </c>
      <c r="G32" s="537">
        <v>-0.1</v>
      </c>
      <c r="H32" s="537">
        <v>-0.1</v>
      </c>
      <c r="I32" s="537">
        <v>-0.1</v>
      </c>
      <c r="J32" s="575">
        <f t="shared" ref="J32:J59" si="1">MROUND(E32,0.05*SIGN(E32))</f>
        <v>-0.25</v>
      </c>
      <c r="K32" s="575">
        <f t="shared" ref="K32:K59" si="2">MROUND(F32,0.05*SIGN(F32))</f>
        <v>0</v>
      </c>
      <c r="L32" s="575">
        <f t="shared" ref="L32:L59" si="3">MROUND(G32,0.05*SIGN(G32))</f>
        <v>-0.1</v>
      </c>
      <c r="M32" s="575">
        <f t="shared" ref="M32:M59" si="4">MROUND(H32,0.05*SIGN(H32))</f>
        <v>-0.1</v>
      </c>
      <c r="N32" s="575">
        <f t="shared" ref="N32:N59" si="5">MROUND(I32,0.05*SIGN(I32))</f>
        <v>-0.1</v>
      </c>
    </row>
    <row r="33" spans="1:14" x14ac:dyDescent="0.25">
      <c r="A33" s="659"/>
      <c r="B33" s="658"/>
      <c r="C33" s="91" t="s">
        <v>46</v>
      </c>
      <c r="D33" s="91">
        <v>0.25</v>
      </c>
      <c r="E33" s="537">
        <v>-0.25</v>
      </c>
      <c r="F33" s="537">
        <v>0</v>
      </c>
      <c r="G33" s="537">
        <v>-0.15000000000000002</v>
      </c>
      <c r="H33" s="537">
        <v>-0.25</v>
      </c>
      <c r="I33" s="537">
        <v>0.2</v>
      </c>
      <c r="J33" s="575">
        <f t="shared" si="1"/>
        <v>-0.25</v>
      </c>
      <c r="K33" s="575">
        <f t="shared" si="2"/>
        <v>0</v>
      </c>
      <c r="L33" s="575">
        <f t="shared" si="3"/>
        <v>-0.15000000000000002</v>
      </c>
      <c r="M33" s="575">
        <f t="shared" si="4"/>
        <v>-0.25</v>
      </c>
      <c r="N33" s="575">
        <f t="shared" si="5"/>
        <v>0.2</v>
      </c>
    </row>
    <row r="34" spans="1:14" x14ac:dyDescent="0.25">
      <c r="A34" s="659"/>
      <c r="B34" s="658"/>
      <c r="C34" s="91" t="s">
        <v>47</v>
      </c>
      <c r="D34" s="91">
        <v>0.25</v>
      </c>
      <c r="E34" s="537">
        <v>-0.1</v>
      </c>
      <c r="F34" s="537">
        <v>0</v>
      </c>
      <c r="G34" s="537">
        <v>0.1</v>
      </c>
      <c r="H34" s="537">
        <v>-0.05</v>
      </c>
      <c r="I34" s="537">
        <v>0.25</v>
      </c>
      <c r="J34" s="575">
        <f t="shared" si="1"/>
        <v>-0.1</v>
      </c>
      <c r="K34" s="575">
        <f t="shared" si="2"/>
        <v>0</v>
      </c>
      <c r="L34" s="575">
        <f t="shared" si="3"/>
        <v>0.1</v>
      </c>
      <c r="M34" s="575">
        <f t="shared" si="4"/>
        <v>-0.05</v>
      </c>
      <c r="N34" s="575">
        <f t="shared" si="5"/>
        <v>0.25</v>
      </c>
    </row>
    <row r="35" spans="1:14" x14ac:dyDescent="0.25">
      <c r="A35" s="659"/>
      <c r="B35" s="658"/>
      <c r="C35" s="91" t="s">
        <v>48</v>
      </c>
      <c r="D35" s="91">
        <v>0.5</v>
      </c>
      <c r="E35" s="537">
        <v>0.25</v>
      </c>
      <c r="F35" s="537">
        <v>0</v>
      </c>
      <c r="G35" s="537">
        <v>-0.5</v>
      </c>
      <c r="H35" s="537">
        <v>-0.2</v>
      </c>
      <c r="I35" s="537">
        <v>0</v>
      </c>
      <c r="J35" s="575">
        <f t="shared" si="1"/>
        <v>0.25</v>
      </c>
      <c r="K35" s="575">
        <f t="shared" si="2"/>
        <v>0</v>
      </c>
      <c r="L35" s="575">
        <f t="shared" si="3"/>
        <v>-0.5</v>
      </c>
      <c r="M35" s="575">
        <f t="shared" si="4"/>
        <v>-0.2</v>
      </c>
      <c r="N35" s="575">
        <f t="shared" si="5"/>
        <v>0</v>
      </c>
    </row>
    <row r="36" spans="1:14" x14ac:dyDescent="0.25">
      <c r="A36" s="659"/>
      <c r="B36" s="658"/>
      <c r="C36" s="91" t="s">
        <v>49</v>
      </c>
      <c r="D36" s="91">
        <v>0.5</v>
      </c>
      <c r="E36" s="537">
        <v>0.35000000000000003</v>
      </c>
      <c r="F36" s="537">
        <v>0</v>
      </c>
      <c r="G36" s="537">
        <v>0.5</v>
      </c>
      <c r="H36" s="537">
        <v>0.2</v>
      </c>
      <c r="I36" s="537">
        <v>0.05</v>
      </c>
      <c r="J36" s="575">
        <f t="shared" si="1"/>
        <v>0.35000000000000003</v>
      </c>
      <c r="K36" s="575">
        <f t="shared" si="2"/>
        <v>0</v>
      </c>
      <c r="L36" s="575">
        <f t="shared" si="3"/>
        <v>0.5</v>
      </c>
      <c r="M36" s="575">
        <f t="shared" si="4"/>
        <v>0.2</v>
      </c>
      <c r="N36" s="575">
        <f t="shared" si="5"/>
        <v>0.05</v>
      </c>
    </row>
    <row r="37" spans="1:14" x14ac:dyDescent="0.25">
      <c r="A37" s="659"/>
      <c r="B37" s="658" t="s">
        <v>394</v>
      </c>
      <c r="C37" s="91" t="s">
        <v>50</v>
      </c>
      <c r="D37" s="91">
        <v>0.3</v>
      </c>
      <c r="E37" s="537">
        <v>-0.15000000000000002</v>
      </c>
      <c r="F37" s="537">
        <v>0</v>
      </c>
      <c r="G37" s="537">
        <v>0.1</v>
      </c>
      <c r="H37" s="537">
        <v>-0.1</v>
      </c>
      <c r="I37" s="537">
        <v>0.30000000000000004</v>
      </c>
      <c r="J37" s="575">
        <f t="shared" si="1"/>
        <v>-0.15000000000000002</v>
      </c>
      <c r="K37" s="575">
        <f t="shared" si="2"/>
        <v>0</v>
      </c>
      <c r="L37" s="575">
        <f t="shared" si="3"/>
        <v>0.1</v>
      </c>
      <c r="M37" s="575">
        <f t="shared" si="4"/>
        <v>-0.1</v>
      </c>
      <c r="N37" s="575">
        <f t="shared" si="5"/>
        <v>0.30000000000000004</v>
      </c>
    </row>
    <row r="38" spans="1:14" x14ac:dyDescent="0.25">
      <c r="A38" s="659"/>
      <c r="B38" s="658"/>
      <c r="C38" s="55" t="s">
        <v>1492</v>
      </c>
      <c r="D38" s="91">
        <v>2</v>
      </c>
      <c r="E38" s="537">
        <v>1</v>
      </c>
      <c r="F38" s="537">
        <v>0</v>
      </c>
      <c r="G38" s="537">
        <v>-2</v>
      </c>
      <c r="H38" s="537">
        <v>-0.8</v>
      </c>
      <c r="I38" s="537">
        <v>0.05</v>
      </c>
      <c r="J38" s="575">
        <f t="shared" si="1"/>
        <v>1</v>
      </c>
      <c r="K38" s="575">
        <f t="shared" si="2"/>
        <v>0</v>
      </c>
      <c r="L38" s="575">
        <f t="shared" si="3"/>
        <v>-2</v>
      </c>
      <c r="M38" s="575">
        <f t="shared" si="4"/>
        <v>-0.8</v>
      </c>
      <c r="N38" s="575">
        <f t="shared" si="5"/>
        <v>0.05</v>
      </c>
    </row>
    <row r="39" spans="1:14" x14ac:dyDescent="0.25">
      <c r="A39" s="659"/>
      <c r="B39" s="658"/>
      <c r="C39" s="55" t="s">
        <v>1493</v>
      </c>
      <c r="D39" s="91">
        <v>0.2</v>
      </c>
      <c r="E39" s="537">
        <v>-0.15000000000000002</v>
      </c>
      <c r="F39" s="537">
        <v>0</v>
      </c>
      <c r="G39" s="537">
        <v>-0.2</v>
      </c>
      <c r="H39" s="537">
        <v>-0.15000000000000002</v>
      </c>
      <c r="I39" s="537">
        <v>-0.05</v>
      </c>
      <c r="J39" s="575">
        <f t="shared" si="1"/>
        <v>-0.15000000000000002</v>
      </c>
      <c r="K39" s="575">
        <f t="shared" si="2"/>
        <v>0</v>
      </c>
      <c r="L39" s="575">
        <f t="shared" si="3"/>
        <v>-0.2</v>
      </c>
      <c r="M39" s="575">
        <f t="shared" si="4"/>
        <v>-0.15000000000000002</v>
      </c>
      <c r="N39" s="575">
        <f t="shared" si="5"/>
        <v>-0.05</v>
      </c>
    </row>
    <row r="40" spans="1:14" s="358" customFormat="1" x14ac:dyDescent="0.25">
      <c r="A40" s="659"/>
      <c r="B40" s="658"/>
      <c r="C40" s="55" t="s">
        <v>1494</v>
      </c>
      <c r="D40" s="91">
        <v>0.3</v>
      </c>
      <c r="E40" s="537">
        <v>0.2</v>
      </c>
      <c r="F40" s="537">
        <v>0</v>
      </c>
      <c r="G40" s="537">
        <v>0.30000000000000004</v>
      </c>
      <c r="H40" s="537">
        <v>0.15000000000000002</v>
      </c>
      <c r="I40" s="537">
        <v>0.05</v>
      </c>
      <c r="J40" s="575">
        <f t="shared" si="1"/>
        <v>0.2</v>
      </c>
      <c r="K40" s="575">
        <f t="shared" si="2"/>
        <v>0</v>
      </c>
      <c r="L40" s="575">
        <f t="shared" si="3"/>
        <v>0.30000000000000004</v>
      </c>
      <c r="M40" s="575">
        <f t="shared" si="4"/>
        <v>0.15000000000000002</v>
      </c>
      <c r="N40" s="575">
        <f t="shared" si="5"/>
        <v>0.05</v>
      </c>
    </row>
    <row r="41" spans="1:14" s="358" customFormat="1" x14ac:dyDescent="0.25">
      <c r="A41" s="659" t="s">
        <v>1511</v>
      </c>
      <c r="B41" s="659" t="s">
        <v>1508</v>
      </c>
      <c r="C41" s="55" t="s">
        <v>84</v>
      </c>
      <c r="D41" s="91"/>
      <c r="E41" s="537">
        <v>0</v>
      </c>
      <c r="F41" s="537">
        <v>0</v>
      </c>
      <c r="G41" s="537">
        <v>0</v>
      </c>
      <c r="H41" s="537">
        <v>0</v>
      </c>
      <c r="I41" s="537">
        <v>0</v>
      </c>
      <c r="J41" s="575">
        <f t="shared" si="1"/>
        <v>0</v>
      </c>
      <c r="K41" s="575">
        <f t="shared" si="2"/>
        <v>0</v>
      </c>
      <c r="L41" s="575">
        <f t="shared" si="3"/>
        <v>0</v>
      </c>
      <c r="M41" s="575">
        <f t="shared" si="4"/>
        <v>0</v>
      </c>
      <c r="N41" s="575">
        <f t="shared" si="5"/>
        <v>0</v>
      </c>
    </row>
    <row r="42" spans="1:14" s="358" customFormat="1" ht="14.25" customHeight="1" x14ac:dyDescent="0.25">
      <c r="A42" s="659"/>
      <c r="B42" s="659"/>
      <c r="C42" s="55" t="s">
        <v>70</v>
      </c>
      <c r="D42" s="91">
        <v>0.5</v>
      </c>
      <c r="E42" s="537">
        <v>-0.5</v>
      </c>
      <c r="F42" s="537">
        <v>0</v>
      </c>
      <c r="G42" s="537">
        <v>-0.2</v>
      </c>
      <c r="H42" s="537">
        <v>-0.2</v>
      </c>
      <c r="I42" s="537">
        <v>-0.2</v>
      </c>
      <c r="J42" s="575">
        <f t="shared" si="1"/>
        <v>-0.5</v>
      </c>
      <c r="K42" s="575">
        <f t="shared" si="2"/>
        <v>0</v>
      </c>
      <c r="L42" s="575">
        <f t="shared" si="3"/>
        <v>-0.2</v>
      </c>
      <c r="M42" s="575">
        <f t="shared" si="4"/>
        <v>-0.2</v>
      </c>
      <c r="N42" s="575">
        <f t="shared" si="5"/>
        <v>-0.2</v>
      </c>
    </row>
    <row r="43" spans="1:14" s="358" customFormat="1" x14ac:dyDescent="0.25">
      <c r="A43" s="659"/>
      <c r="B43" s="659"/>
      <c r="C43" s="91" t="s">
        <v>78</v>
      </c>
      <c r="D43" s="91">
        <v>0.5</v>
      </c>
      <c r="E43" s="537">
        <v>-0.25</v>
      </c>
      <c r="F43" s="537">
        <v>0</v>
      </c>
      <c r="G43" s="537">
        <v>0.15000000000000002</v>
      </c>
      <c r="H43" s="537">
        <v>-0.15000000000000002</v>
      </c>
      <c r="I43" s="537">
        <v>0.5</v>
      </c>
      <c r="J43" s="575">
        <f t="shared" si="1"/>
        <v>-0.25</v>
      </c>
      <c r="K43" s="575">
        <f t="shared" si="2"/>
        <v>0</v>
      </c>
      <c r="L43" s="575">
        <f t="shared" si="3"/>
        <v>0.15000000000000002</v>
      </c>
      <c r="M43" s="575">
        <f t="shared" si="4"/>
        <v>-0.15000000000000002</v>
      </c>
      <c r="N43" s="575">
        <f t="shared" si="5"/>
        <v>0.5</v>
      </c>
    </row>
    <row r="44" spans="1:14" s="358" customFormat="1" x14ac:dyDescent="0.25">
      <c r="A44" s="659"/>
      <c r="B44" s="659"/>
      <c r="C44" s="91" t="s">
        <v>78</v>
      </c>
      <c r="D44" s="91"/>
      <c r="E44" s="537">
        <v>0</v>
      </c>
      <c r="F44" s="537">
        <v>0</v>
      </c>
      <c r="G44" s="537">
        <v>0</v>
      </c>
      <c r="H44" s="537">
        <v>0</v>
      </c>
      <c r="I44" s="537">
        <v>0</v>
      </c>
      <c r="J44" s="575">
        <f t="shared" si="1"/>
        <v>0</v>
      </c>
      <c r="K44" s="575">
        <f t="shared" si="2"/>
        <v>0</v>
      </c>
      <c r="L44" s="575">
        <f t="shared" si="3"/>
        <v>0</v>
      </c>
      <c r="M44" s="575">
        <f t="shared" si="4"/>
        <v>0</v>
      </c>
      <c r="N44" s="575">
        <f t="shared" si="5"/>
        <v>0</v>
      </c>
    </row>
    <row r="45" spans="1:14" s="358" customFormat="1" x14ac:dyDescent="0.25">
      <c r="A45" s="659"/>
      <c r="B45" s="659"/>
      <c r="C45" s="89" t="s">
        <v>73</v>
      </c>
      <c r="D45" s="91">
        <v>0.5</v>
      </c>
      <c r="E45" s="537">
        <v>-0.5</v>
      </c>
      <c r="F45" s="537">
        <v>0</v>
      </c>
      <c r="G45" s="537">
        <v>-0.2</v>
      </c>
      <c r="H45" s="537">
        <v>-0.2</v>
      </c>
      <c r="I45" s="537">
        <v>-0.2</v>
      </c>
      <c r="J45" s="575">
        <f t="shared" si="1"/>
        <v>-0.5</v>
      </c>
      <c r="K45" s="575">
        <f t="shared" si="2"/>
        <v>0</v>
      </c>
      <c r="L45" s="575">
        <f t="shared" si="3"/>
        <v>-0.2</v>
      </c>
      <c r="M45" s="575">
        <f t="shared" si="4"/>
        <v>-0.2</v>
      </c>
      <c r="N45" s="575">
        <f t="shared" si="5"/>
        <v>-0.2</v>
      </c>
    </row>
    <row r="46" spans="1:14" s="358" customFormat="1" x14ac:dyDescent="0.25">
      <c r="A46" s="659"/>
      <c r="B46" s="659"/>
      <c r="C46" s="89" t="s">
        <v>77</v>
      </c>
      <c r="D46" s="89">
        <v>0.5</v>
      </c>
      <c r="E46" s="537">
        <v>-0.45</v>
      </c>
      <c r="F46" s="537">
        <v>0</v>
      </c>
      <c r="G46" s="537">
        <v>-0.35000000000000003</v>
      </c>
      <c r="H46" s="537">
        <v>-0.5</v>
      </c>
      <c r="I46" s="537">
        <v>0.35000000000000003</v>
      </c>
      <c r="J46" s="575">
        <f t="shared" si="1"/>
        <v>-0.45</v>
      </c>
      <c r="K46" s="575">
        <f t="shared" si="2"/>
        <v>0</v>
      </c>
      <c r="L46" s="575">
        <f t="shared" si="3"/>
        <v>-0.35000000000000003</v>
      </c>
      <c r="M46" s="575">
        <f t="shared" si="4"/>
        <v>-0.5</v>
      </c>
      <c r="N46" s="575">
        <f t="shared" si="5"/>
        <v>0.35000000000000003</v>
      </c>
    </row>
    <row r="47" spans="1:14" s="358" customFormat="1" x14ac:dyDescent="0.25">
      <c r="A47" s="659"/>
      <c r="B47" s="659"/>
      <c r="C47" s="55" t="s">
        <v>81</v>
      </c>
      <c r="D47" s="89">
        <v>0.5</v>
      </c>
      <c r="E47" s="537">
        <v>-0.25</v>
      </c>
      <c r="F47" s="537">
        <v>0</v>
      </c>
      <c r="G47" s="537">
        <v>0.15000000000000002</v>
      </c>
      <c r="H47" s="537">
        <v>-0.15000000000000002</v>
      </c>
      <c r="I47" s="537">
        <v>0.5</v>
      </c>
      <c r="J47" s="575">
        <f t="shared" si="1"/>
        <v>-0.25</v>
      </c>
      <c r="K47" s="575">
        <f t="shared" si="2"/>
        <v>0</v>
      </c>
      <c r="L47" s="575">
        <f t="shared" si="3"/>
        <v>0.15000000000000002</v>
      </c>
      <c r="M47" s="575">
        <f t="shared" si="4"/>
        <v>-0.15000000000000002</v>
      </c>
      <c r="N47" s="575">
        <f t="shared" si="5"/>
        <v>0.5</v>
      </c>
    </row>
    <row r="48" spans="1:14" s="358" customFormat="1" x14ac:dyDescent="0.25">
      <c r="A48" s="659"/>
      <c r="B48" s="659"/>
      <c r="C48" s="91" t="s">
        <v>56</v>
      </c>
      <c r="D48" s="89">
        <v>0.25</v>
      </c>
      <c r="E48" s="537">
        <v>0.15000000000000002</v>
      </c>
      <c r="F48" s="537">
        <v>0</v>
      </c>
      <c r="G48" s="537">
        <v>-0.25</v>
      </c>
      <c r="H48" s="537">
        <v>-0.1</v>
      </c>
      <c r="I48" s="537">
        <v>0</v>
      </c>
      <c r="J48" s="575">
        <f t="shared" si="1"/>
        <v>0.15000000000000002</v>
      </c>
      <c r="K48" s="575">
        <f t="shared" si="2"/>
        <v>0</v>
      </c>
      <c r="L48" s="575">
        <f t="shared" si="3"/>
        <v>-0.25</v>
      </c>
      <c r="M48" s="575">
        <f t="shared" si="4"/>
        <v>-0.1</v>
      </c>
      <c r="N48" s="575">
        <f t="shared" si="5"/>
        <v>0</v>
      </c>
    </row>
    <row r="49" spans="1:14" s="358" customFormat="1" x14ac:dyDescent="0.25">
      <c r="A49" s="659"/>
      <c r="B49" s="659"/>
      <c r="C49" s="55" t="s">
        <v>63</v>
      </c>
      <c r="D49" s="91">
        <v>0.3</v>
      </c>
      <c r="E49" s="537">
        <v>0.15000000000000002</v>
      </c>
      <c r="F49" s="537">
        <v>0</v>
      </c>
      <c r="G49" s="537">
        <v>-0.30000000000000004</v>
      </c>
      <c r="H49" s="537">
        <v>-0.1</v>
      </c>
      <c r="I49" s="537">
        <v>0</v>
      </c>
      <c r="J49" s="575">
        <f t="shared" si="1"/>
        <v>0.15000000000000002</v>
      </c>
      <c r="K49" s="575">
        <f t="shared" si="2"/>
        <v>0</v>
      </c>
      <c r="L49" s="575">
        <f t="shared" si="3"/>
        <v>-0.30000000000000004</v>
      </c>
      <c r="M49" s="575">
        <f t="shared" si="4"/>
        <v>-0.1</v>
      </c>
      <c r="N49" s="575">
        <f t="shared" si="5"/>
        <v>0</v>
      </c>
    </row>
    <row r="50" spans="1:14" s="358" customFormat="1" x14ac:dyDescent="0.25">
      <c r="A50" s="659"/>
      <c r="B50" s="659"/>
      <c r="C50" s="539" t="s">
        <v>69</v>
      </c>
      <c r="D50" s="91">
        <v>0.3</v>
      </c>
      <c r="E50" s="537">
        <v>-0.15000000000000002</v>
      </c>
      <c r="F50" s="537">
        <v>0</v>
      </c>
      <c r="G50" s="537">
        <v>0.30000000000000004</v>
      </c>
      <c r="H50" s="537">
        <v>0.1</v>
      </c>
      <c r="I50" s="537">
        <v>0</v>
      </c>
      <c r="J50" s="575">
        <f t="shared" si="1"/>
        <v>-0.15000000000000002</v>
      </c>
      <c r="K50" s="575">
        <f t="shared" si="2"/>
        <v>0</v>
      </c>
      <c r="L50" s="575">
        <f t="shared" si="3"/>
        <v>0.30000000000000004</v>
      </c>
      <c r="M50" s="575">
        <f t="shared" si="4"/>
        <v>0.1</v>
      </c>
      <c r="N50" s="575">
        <f t="shared" si="5"/>
        <v>0</v>
      </c>
    </row>
    <row r="51" spans="1:14" x14ac:dyDescent="0.25">
      <c r="A51" s="659"/>
      <c r="B51" s="658" t="s">
        <v>1509</v>
      </c>
      <c r="C51" s="89" t="s">
        <v>71</v>
      </c>
      <c r="D51" s="89">
        <v>0.5</v>
      </c>
      <c r="E51" s="537">
        <v>-0.5</v>
      </c>
      <c r="F51" s="537">
        <v>0</v>
      </c>
      <c r="G51" s="537">
        <v>-0.2</v>
      </c>
      <c r="H51" s="537">
        <v>-0.2</v>
      </c>
      <c r="I51" s="537">
        <v>-0.2</v>
      </c>
      <c r="J51" s="575">
        <f t="shared" si="1"/>
        <v>-0.5</v>
      </c>
      <c r="K51" s="575">
        <f t="shared" si="2"/>
        <v>0</v>
      </c>
      <c r="L51" s="575">
        <f t="shared" si="3"/>
        <v>-0.2</v>
      </c>
      <c r="M51" s="575">
        <f t="shared" si="4"/>
        <v>-0.2</v>
      </c>
      <c r="N51" s="575">
        <f t="shared" si="5"/>
        <v>-0.2</v>
      </c>
    </row>
    <row r="52" spans="1:14" x14ac:dyDescent="0.25">
      <c r="A52" s="659"/>
      <c r="B52" s="658"/>
      <c r="C52" s="89" t="s">
        <v>75</v>
      </c>
      <c r="D52" s="89">
        <v>0.25</v>
      </c>
      <c r="E52" s="537">
        <v>-0.25</v>
      </c>
      <c r="F52" s="537">
        <v>0</v>
      </c>
      <c r="G52" s="537">
        <v>-0.15000000000000002</v>
      </c>
      <c r="H52" s="537">
        <v>-0.25</v>
      </c>
      <c r="I52" s="537">
        <v>0.2</v>
      </c>
      <c r="J52" s="575">
        <f t="shared" si="1"/>
        <v>-0.25</v>
      </c>
      <c r="K52" s="575">
        <f t="shared" si="2"/>
        <v>0</v>
      </c>
      <c r="L52" s="575">
        <f t="shared" si="3"/>
        <v>-0.15000000000000002</v>
      </c>
      <c r="M52" s="575">
        <f t="shared" si="4"/>
        <v>-0.25</v>
      </c>
      <c r="N52" s="575">
        <f t="shared" si="5"/>
        <v>0.2</v>
      </c>
    </row>
    <row r="53" spans="1:14" x14ac:dyDescent="0.25">
      <c r="A53" s="659"/>
      <c r="B53" s="658"/>
      <c r="C53" s="89" t="s">
        <v>79</v>
      </c>
      <c r="D53" s="89">
        <v>0.5</v>
      </c>
      <c r="E53" s="537">
        <v>-0.25</v>
      </c>
      <c r="F53" s="537">
        <v>0</v>
      </c>
      <c r="G53" s="537">
        <v>0.15000000000000002</v>
      </c>
      <c r="H53" s="537">
        <v>-0.15000000000000002</v>
      </c>
      <c r="I53" s="537">
        <v>0.5</v>
      </c>
      <c r="J53" s="575">
        <f t="shared" si="1"/>
        <v>-0.25</v>
      </c>
      <c r="K53" s="575">
        <f t="shared" si="2"/>
        <v>0</v>
      </c>
      <c r="L53" s="575">
        <f t="shared" si="3"/>
        <v>0.15000000000000002</v>
      </c>
      <c r="M53" s="575">
        <f t="shared" si="4"/>
        <v>-0.15000000000000002</v>
      </c>
      <c r="N53" s="575">
        <f t="shared" si="5"/>
        <v>0.5</v>
      </c>
    </row>
    <row r="54" spans="1:14" x14ac:dyDescent="0.25">
      <c r="A54" s="659"/>
      <c r="B54" s="658"/>
      <c r="C54" s="51" t="s">
        <v>82</v>
      </c>
      <c r="D54" s="91">
        <v>0.5</v>
      </c>
      <c r="E54" s="537">
        <v>0.25</v>
      </c>
      <c r="F54" s="537">
        <v>0</v>
      </c>
      <c r="G54" s="537">
        <v>-0.15000000000000002</v>
      </c>
      <c r="H54" s="537">
        <v>0.15000000000000002</v>
      </c>
      <c r="I54" s="537">
        <v>-0.5</v>
      </c>
      <c r="J54" s="575">
        <f t="shared" si="1"/>
        <v>0.25</v>
      </c>
      <c r="K54" s="575">
        <f t="shared" si="2"/>
        <v>0</v>
      </c>
      <c r="L54" s="575">
        <f t="shared" si="3"/>
        <v>-0.15000000000000002</v>
      </c>
      <c r="M54" s="575">
        <f t="shared" si="4"/>
        <v>0.15000000000000002</v>
      </c>
      <c r="N54" s="575">
        <f t="shared" si="5"/>
        <v>-0.5</v>
      </c>
    </row>
    <row r="55" spans="1:14" x14ac:dyDescent="0.25">
      <c r="A55" s="659" t="s">
        <v>1512</v>
      </c>
      <c r="B55" s="658" t="s">
        <v>1510</v>
      </c>
      <c r="C55" s="93" t="s">
        <v>171</v>
      </c>
      <c r="D55" s="91">
        <v>0.5</v>
      </c>
      <c r="E55" s="537">
        <v>-0.25</v>
      </c>
      <c r="F55" s="537">
        <v>0</v>
      </c>
      <c r="G55" s="537">
        <v>0.15000000000000002</v>
      </c>
      <c r="H55" s="537">
        <v>-0.15000000000000002</v>
      </c>
      <c r="I55" s="537">
        <v>0.5</v>
      </c>
      <c r="J55" s="575">
        <f t="shared" si="1"/>
        <v>-0.25</v>
      </c>
      <c r="K55" s="575">
        <f t="shared" si="2"/>
        <v>0</v>
      </c>
      <c r="L55" s="575">
        <f t="shared" si="3"/>
        <v>0.15000000000000002</v>
      </c>
      <c r="M55" s="575">
        <f t="shared" si="4"/>
        <v>-0.15000000000000002</v>
      </c>
      <c r="N55" s="575">
        <f t="shared" si="5"/>
        <v>0.5</v>
      </c>
    </row>
    <row r="56" spans="1:14" x14ac:dyDescent="0.25">
      <c r="A56" s="659"/>
      <c r="B56" s="658"/>
      <c r="C56" s="55" t="s">
        <v>1495</v>
      </c>
      <c r="D56" s="91">
        <v>0.5</v>
      </c>
      <c r="E56" s="537">
        <v>-0.5</v>
      </c>
      <c r="F56" s="537">
        <v>0</v>
      </c>
      <c r="G56" s="537">
        <v>-0.2</v>
      </c>
      <c r="H56" s="537">
        <v>-0.2</v>
      </c>
      <c r="I56" s="537">
        <v>-0.2</v>
      </c>
      <c r="J56" s="575">
        <f t="shared" si="1"/>
        <v>-0.5</v>
      </c>
      <c r="K56" s="575">
        <f t="shared" si="2"/>
        <v>0</v>
      </c>
      <c r="L56" s="575">
        <f t="shared" si="3"/>
        <v>-0.2</v>
      </c>
      <c r="M56" s="575">
        <f t="shared" si="4"/>
        <v>-0.2</v>
      </c>
      <c r="N56" s="575">
        <f t="shared" si="5"/>
        <v>-0.2</v>
      </c>
    </row>
    <row r="57" spans="1:14" x14ac:dyDescent="0.25">
      <c r="A57" s="659"/>
      <c r="B57" s="658"/>
      <c r="C57" s="55" t="s">
        <v>1496</v>
      </c>
      <c r="D57" s="91">
        <v>0.5</v>
      </c>
      <c r="E57" s="537">
        <v>-0.45</v>
      </c>
      <c r="F57" s="537">
        <v>0</v>
      </c>
      <c r="G57" s="537">
        <v>-0.35000000000000003</v>
      </c>
      <c r="H57" s="537">
        <v>-0.5</v>
      </c>
      <c r="I57" s="537">
        <v>0.35000000000000003</v>
      </c>
      <c r="J57" s="575">
        <f t="shared" si="1"/>
        <v>-0.45</v>
      </c>
      <c r="K57" s="575">
        <f t="shared" si="2"/>
        <v>0</v>
      </c>
      <c r="L57" s="575">
        <f t="shared" si="3"/>
        <v>-0.35000000000000003</v>
      </c>
      <c r="M57" s="575">
        <f t="shared" si="4"/>
        <v>-0.5</v>
      </c>
      <c r="N57" s="575">
        <f t="shared" si="5"/>
        <v>0.35000000000000003</v>
      </c>
    </row>
    <row r="58" spans="1:14" x14ac:dyDescent="0.25">
      <c r="A58" s="659"/>
      <c r="B58" s="658"/>
      <c r="C58" s="50" t="s">
        <v>55</v>
      </c>
      <c r="D58" s="89">
        <v>0.75</v>
      </c>
      <c r="E58" s="537">
        <v>-0.4</v>
      </c>
      <c r="F58" s="537">
        <v>0</v>
      </c>
      <c r="G58" s="537">
        <v>0.75</v>
      </c>
      <c r="H58" s="537">
        <v>0.30000000000000004</v>
      </c>
      <c r="I58" s="537">
        <v>0</v>
      </c>
      <c r="J58" s="575">
        <f t="shared" si="1"/>
        <v>-0.4</v>
      </c>
      <c r="K58" s="575">
        <f t="shared" si="2"/>
        <v>0</v>
      </c>
      <c r="L58" s="575">
        <f t="shared" si="3"/>
        <v>0.75</v>
      </c>
      <c r="M58" s="575">
        <f t="shared" si="4"/>
        <v>0.30000000000000004</v>
      </c>
      <c r="N58" s="575">
        <f t="shared" si="5"/>
        <v>0</v>
      </c>
    </row>
    <row r="59" spans="1:14" x14ac:dyDescent="0.25">
      <c r="A59" s="659"/>
      <c r="B59" s="658"/>
      <c r="C59" s="50" t="s">
        <v>61</v>
      </c>
      <c r="D59" s="89">
        <v>0.9</v>
      </c>
      <c r="E59" s="537">
        <v>-0.65</v>
      </c>
      <c r="F59" s="537">
        <v>0</v>
      </c>
      <c r="G59" s="537">
        <v>-0.9</v>
      </c>
      <c r="H59" s="537">
        <v>-0.4</v>
      </c>
      <c r="I59" s="537">
        <v>-0.1</v>
      </c>
      <c r="J59" s="575">
        <f t="shared" si="1"/>
        <v>-0.65</v>
      </c>
      <c r="K59" s="575">
        <f t="shared" si="2"/>
        <v>0</v>
      </c>
      <c r="L59" s="575">
        <f t="shared" si="3"/>
        <v>-0.9</v>
      </c>
      <c r="M59" s="575">
        <f t="shared" si="4"/>
        <v>-0.4</v>
      </c>
      <c r="N59" s="575">
        <f t="shared" si="5"/>
        <v>-0.1</v>
      </c>
    </row>
    <row r="60" spans="1:14" x14ac:dyDescent="0.25">
      <c r="A60" s="659"/>
      <c r="B60" s="658" t="s">
        <v>285</v>
      </c>
      <c r="C60" s="92" t="s">
        <v>1514</v>
      </c>
      <c r="D60" s="92"/>
      <c r="E60" s="538">
        <v>0.75081912900486103</v>
      </c>
      <c r="F60" s="538">
        <v>1</v>
      </c>
      <c r="G60" s="538">
        <v>1.0523019330463788</v>
      </c>
      <c r="H60" s="538">
        <v>0.90947115515778898</v>
      </c>
      <c r="I60" s="538">
        <v>1.3065035856229865</v>
      </c>
      <c r="J60" s="577"/>
      <c r="K60" s="577"/>
      <c r="L60" s="577"/>
      <c r="M60" s="577"/>
    </row>
    <row r="61" spans="1:14" x14ac:dyDescent="0.25">
      <c r="A61" s="659"/>
      <c r="B61" s="658"/>
      <c r="C61" s="92" t="s">
        <v>1513</v>
      </c>
      <c r="D61" s="92"/>
      <c r="E61" s="538">
        <v>0.28725144192278157</v>
      </c>
      <c r="F61" s="538">
        <v>1</v>
      </c>
      <c r="G61" s="538">
        <v>0.99452372782846787</v>
      </c>
      <c r="H61" s="538">
        <v>0.52267185782209558</v>
      </c>
      <c r="I61" s="538">
        <v>1.4716561513091095</v>
      </c>
      <c r="J61" s="577"/>
      <c r="K61" s="577"/>
      <c r="L61" s="577"/>
      <c r="M61" s="577"/>
    </row>
    <row r="62" spans="1:14" ht="14.25" customHeight="1" x14ac:dyDescent="0.25">
      <c r="A62" s="659"/>
      <c r="B62" s="658"/>
      <c r="C62" s="89" t="s">
        <v>127</v>
      </c>
      <c r="D62" s="89">
        <v>0.5</v>
      </c>
      <c r="E62" s="537">
        <v>-0.5</v>
      </c>
      <c r="F62" s="537">
        <v>0</v>
      </c>
      <c r="G62" s="537">
        <v>0</v>
      </c>
      <c r="H62" s="537">
        <v>-0.35000000000000003</v>
      </c>
      <c r="I62" s="537">
        <v>0.35000000000000003</v>
      </c>
      <c r="J62" s="575">
        <f>MROUND(E62,0.05*SIGN(E62))</f>
        <v>-0.5</v>
      </c>
      <c r="K62" s="575">
        <f>MROUND(F62,0.05*SIGN(F62))</f>
        <v>0</v>
      </c>
      <c r="L62" s="575">
        <f>MROUND(G62,0.05*SIGN(G62))</f>
        <v>0</v>
      </c>
      <c r="M62" s="575">
        <f>MROUND(H62,0.05*SIGN(H62))</f>
        <v>-0.35000000000000003</v>
      </c>
      <c r="N62" s="575">
        <f>MROUND(I62,0.05*SIGN(I62))</f>
        <v>0.35000000000000003</v>
      </c>
    </row>
    <row r="63" spans="1:14" x14ac:dyDescent="0.25">
      <c r="A63" s="659"/>
      <c r="B63" s="658"/>
      <c r="C63" s="365" t="s">
        <v>1061</v>
      </c>
      <c r="D63" s="365"/>
      <c r="E63" s="547" t="s">
        <v>1530</v>
      </c>
      <c r="F63" s="547" t="s">
        <v>1531</v>
      </c>
      <c r="G63" s="547" t="s">
        <v>1531</v>
      </c>
      <c r="H63" s="547" t="s">
        <v>1530</v>
      </c>
      <c r="I63" s="547" t="s">
        <v>1530</v>
      </c>
      <c r="J63" s="578"/>
      <c r="K63" s="578"/>
      <c r="L63" s="578"/>
      <c r="M63" s="578"/>
    </row>
    <row r="64" spans="1:14" s="358" customFormat="1" x14ac:dyDescent="0.25">
      <c r="A64" s="659" t="s">
        <v>135</v>
      </c>
      <c r="B64" s="658" t="s">
        <v>288</v>
      </c>
      <c r="C64" s="533" t="s">
        <v>1515</v>
      </c>
      <c r="D64" s="90"/>
      <c r="E64" s="536">
        <v>1.032815256527974</v>
      </c>
      <c r="F64" s="536">
        <v>1</v>
      </c>
      <c r="G64" s="536">
        <v>0.85766385705000581</v>
      </c>
      <c r="H64" s="536">
        <v>1.0024038213537745</v>
      </c>
      <c r="I64" s="536">
        <v>1.0237390254722529</v>
      </c>
      <c r="J64" s="657"/>
      <c r="K64" s="657"/>
      <c r="L64" s="657"/>
      <c r="M64" s="657"/>
      <c r="N64" s="572"/>
    </row>
    <row r="65" spans="1:14" s="358" customFormat="1" ht="14.25" customHeight="1" x14ac:dyDescent="0.25">
      <c r="A65" s="659"/>
      <c r="B65" s="658"/>
      <c r="C65" s="50" t="s">
        <v>88</v>
      </c>
      <c r="D65" s="89">
        <v>0.25</v>
      </c>
      <c r="E65" s="541">
        <v>-0.05</v>
      </c>
      <c r="F65" s="541">
        <v>0</v>
      </c>
      <c r="G65" s="541">
        <v>0.25</v>
      </c>
      <c r="H65" s="541">
        <v>0</v>
      </c>
      <c r="I65" s="541">
        <v>-0.05</v>
      </c>
      <c r="J65" s="575">
        <f t="shared" ref="J65:N66" si="6">MROUND(E65,0.05*SIGN(E65))</f>
        <v>-0.05</v>
      </c>
      <c r="K65" s="575">
        <f t="shared" si="6"/>
        <v>0</v>
      </c>
      <c r="L65" s="575">
        <f t="shared" si="6"/>
        <v>0.25</v>
      </c>
      <c r="M65" s="575">
        <f t="shared" si="6"/>
        <v>0</v>
      </c>
      <c r="N65" s="575">
        <f t="shared" si="6"/>
        <v>-0.05</v>
      </c>
    </row>
    <row r="66" spans="1:14" s="358" customFormat="1" x14ac:dyDescent="0.25">
      <c r="A66" s="659"/>
      <c r="B66" s="658"/>
      <c r="C66" s="347" t="s">
        <v>89</v>
      </c>
      <c r="D66" s="89">
        <v>0.5</v>
      </c>
      <c r="E66" s="541">
        <v>0.1</v>
      </c>
      <c r="F66" s="541">
        <v>0</v>
      </c>
      <c r="G66" s="541">
        <v>-0.5</v>
      </c>
      <c r="H66" s="541">
        <v>0</v>
      </c>
      <c r="I66" s="541">
        <v>0.1</v>
      </c>
      <c r="J66" s="575">
        <f t="shared" si="6"/>
        <v>0.1</v>
      </c>
      <c r="K66" s="575">
        <f t="shared" si="6"/>
        <v>0</v>
      </c>
      <c r="L66" s="575">
        <f t="shared" si="6"/>
        <v>-0.5</v>
      </c>
      <c r="M66" s="575">
        <f t="shared" si="6"/>
        <v>0</v>
      </c>
      <c r="N66" s="575">
        <f t="shared" si="6"/>
        <v>0.1</v>
      </c>
    </row>
    <row r="67" spans="1:14" x14ac:dyDescent="0.25">
      <c r="A67" s="659"/>
      <c r="B67" s="658" t="s">
        <v>289</v>
      </c>
      <c r="C67" s="533" t="s">
        <v>1516</v>
      </c>
      <c r="D67" s="90"/>
      <c r="E67" s="536">
        <v>0.68793367177281695</v>
      </c>
      <c r="F67" s="536">
        <v>1</v>
      </c>
      <c r="G67" s="536">
        <v>1.1144560952359841</v>
      </c>
      <c r="H67" s="536">
        <v>0.71932430335409792</v>
      </c>
      <c r="I67" s="536">
        <v>1.1444944467844556</v>
      </c>
      <c r="J67" s="657"/>
      <c r="K67" s="657"/>
      <c r="L67" s="657"/>
      <c r="M67" s="657"/>
    </row>
    <row r="68" spans="1:14" x14ac:dyDescent="0.25">
      <c r="A68" s="659"/>
      <c r="B68" s="658"/>
      <c r="C68" s="533" t="s">
        <v>1517</v>
      </c>
      <c r="D68" s="90"/>
      <c r="E68" s="536">
        <v>1.0072636282394996</v>
      </c>
      <c r="F68" s="536">
        <v>1</v>
      </c>
      <c r="G68" s="536">
        <v>1.3653386952636282</v>
      </c>
      <c r="H68" s="536">
        <v>0.94979982126899021</v>
      </c>
      <c r="I68" s="536">
        <v>1.1077462019660411</v>
      </c>
      <c r="J68" s="576"/>
      <c r="K68" s="576"/>
      <c r="L68" s="576"/>
      <c r="M68" s="576"/>
    </row>
    <row r="69" spans="1:14" ht="14.25" customHeight="1" x14ac:dyDescent="0.25">
      <c r="A69" s="659"/>
      <c r="B69" s="658"/>
      <c r="C69" s="91" t="s">
        <v>109</v>
      </c>
      <c r="D69" s="91">
        <v>0.5</v>
      </c>
      <c r="E69" s="537">
        <v>-0.5</v>
      </c>
      <c r="F69" s="537">
        <v>0</v>
      </c>
      <c r="G69" s="537">
        <v>0.2</v>
      </c>
      <c r="H69" s="537">
        <v>-0.45</v>
      </c>
      <c r="I69" s="537">
        <v>0.25</v>
      </c>
      <c r="J69" s="575">
        <f t="shared" ref="J69:N70" si="7">MROUND(E69,0.05*SIGN(E69))</f>
        <v>-0.5</v>
      </c>
      <c r="K69" s="575">
        <f t="shared" si="7"/>
        <v>0</v>
      </c>
      <c r="L69" s="575">
        <f t="shared" si="7"/>
        <v>0.2</v>
      </c>
      <c r="M69" s="575">
        <f t="shared" si="7"/>
        <v>-0.45</v>
      </c>
      <c r="N69" s="575">
        <f t="shared" si="7"/>
        <v>0.25</v>
      </c>
    </row>
    <row r="70" spans="1:14" x14ac:dyDescent="0.25">
      <c r="A70" s="659"/>
      <c r="B70" s="658"/>
      <c r="C70" s="89" t="s">
        <v>107</v>
      </c>
      <c r="D70" s="89">
        <v>0.5</v>
      </c>
      <c r="E70" s="537">
        <v>0</v>
      </c>
      <c r="F70" s="537">
        <v>0</v>
      </c>
      <c r="G70" s="537">
        <v>0.5</v>
      </c>
      <c r="H70" s="537">
        <v>-0.05</v>
      </c>
      <c r="I70" s="537">
        <v>0.15000000000000002</v>
      </c>
      <c r="J70" s="575">
        <f t="shared" si="7"/>
        <v>0</v>
      </c>
      <c r="K70" s="575">
        <f t="shared" si="7"/>
        <v>0</v>
      </c>
      <c r="L70" s="575">
        <f t="shared" si="7"/>
        <v>0.5</v>
      </c>
      <c r="M70" s="575">
        <f t="shared" si="7"/>
        <v>-0.05</v>
      </c>
      <c r="N70" s="575">
        <f t="shared" si="7"/>
        <v>0.15000000000000002</v>
      </c>
    </row>
    <row r="71" spans="1:14" x14ac:dyDescent="0.25">
      <c r="A71" s="659" t="s">
        <v>1523</v>
      </c>
      <c r="B71" s="542"/>
      <c r="C71" s="92" t="s">
        <v>1521</v>
      </c>
      <c r="D71" s="544"/>
      <c r="E71" s="545">
        <v>0.82404143475572045</v>
      </c>
      <c r="F71" s="538">
        <v>1</v>
      </c>
      <c r="G71" s="538">
        <v>1.1763141620284476</v>
      </c>
      <c r="H71" s="538">
        <v>0.90771490414347544</v>
      </c>
      <c r="I71" s="538">
        <v>0.92368583797155213</v>
      </c>
      <c r="J71" s="577"/>
      <c r="K71" s="577"/>
      <c r="L71" s="577"/>
      <c r="M71" s="577"/>
    </row>
    <row r="72" spans="1:14" x14ac:dyDescent="0.25">
      <c r="A72" s="659"/>
      <c r="B72" s="542"/>
      <c r="C72" s="92" t="s">
        <v>1522</v>
      </c>
      <c r="D72" s="92"/>
      <c r="E72" s="538">
        <v>0.68577938052877929</v>
      </c>
      <c r="F72" s="538">
        <v>1</v>
      </c>
      <c r="G72" s="538">
        <v>1.020163256535358</v>
      </c>
      <c r="H72" s="538">
        <v>1.0169372456864847</v>
      </c>
      <c r="I72" s="538">
        <v>0.78344679010543083</v>
      </c>
      <c r="J72" s="577"/>
      <c r="K72" s="577"/>
      <c r="L72" s="577"/>
      <c r="M72" s="577"/>
    </row>
    <row r="73" spans="1:14" x14ac:dyDescent="0.25">
      <c r="A73" s="659"/>
      <c r="B73" s="658" t="s">
        <v>286</v>
      </c>
      <c r="C73" s="55" t="s">
        <v>110</v>
      </c>
      <c r="D73" s="91">
        <v>0.5</v>
      </c>
      <c r="E73" s="537">
        <v>-0.5</v>
      </c>
      <c r="F73" s="537">
        <v>0</v>
      </c>
      <c r="G73" s="537">
        <v>0.5</v>
      </c>
      <c r="H73" s="537">
        <v>-0.25</v>
      </c>
      <c r="I73" s="537">
        <v>-0.2</v>
      </c>
      <c r="J73" s="575">
        <f>MROUND(E73,0.05*SIGN(E73))</f>
        <v>-0.5</v>
      </c>
      <c r="K73" s="575">
        <f>MROUND(F73,0.05*SIGN(F73))</f>
        <v>0</v>
      </c>
      <c r="L73" s="575">
        <f>MROUND(G73,0.05*SIGN(G73))</f>
        <v>0.5</v>
      </c>
      <c r="M73" s="575">
        <f>MROUND(H73,0.05*SIGN(H73))</f>
        <v>-0.25</v>
      </c>
      <c r="N73" s="575">
        <f>MROUND(I73,0.05*SIGN(I73))</f>
        <v>-0.2</v>
      </c>
    </row>
    <row r="74" spans="1:14" x14ac:dyDescent="0.25">
      <c r="A74" s="659"/>
      <c r="B74" s="658"/>
      <c r="C74" s="55" t="s">
        <v>114</v>
      </c>
      <c r="D74" s="91"/>
      <c r="E74" s="537">
        <v>-0.1</v>
      </c>
      <c r="F74" s="537">
        <v>0</v>
      </c>
      <c r="G74" s="537">
        <v>0.1</v>
      </c>
      <c r="H74" s="537">
        <v>-0.05</v>
      </c>
      <c r="I74" s="537">
        <v>-0.05</v>
      </c>
      <c r="J74" s="575">
        <f t="shared" ref="J74:J81" si="8">MROUND(E74,0.05*SIGN(E74))</f>
        <v>-0.1</v>
      </c>
      <c r="K74" s="575">
        <f t="shared" ref="K74:K81" si="9">MROUND(F74,0.05*SIGN(F74))</f>
        <v>0</v>
      </c>
      <c r="L74" s="575">
        <f t="shared" ref="L74:L81" si="10">MROUND(G74,0.05*SIGN(G74))</f>
        <v>0.1</v>
      </c>
      <c r="M74" s="575">
        <f t="shared" ref="M74:M81" si="11">MROUND(H74,0.05*SIGN(H74))</f>
        <v>-0.05</v>
      </c>
      <c r="N74" s="575">
        <f t="shared" ref="N74:N81" si="12">MROUND(I74,0.05*SIGN(I74))</f>
        <v>-0.05</v>
      </c>
    </row>
    <row r="75" spans="1:14" x14ac:dyDescent="0.25">
      <c r="A75" s="659"/>
      <c r="B75" s="658"/>
      <c r="C75" s="55" t="s">
        <v>115</v>
      </c>
      <c r="D75" s="91"/>
      <c r="E75" s="537">
        <v>-0.1</v>
      </c>
      <c r="F75" s="537">
        <v>0</v>
      </c>
      <c r="G75" s="537">
        <v>0.1</v>
      </c>
      <c r="H75" s="537">
        <v>-0.05</v>
      </c>
      <c r="I75" s="537">
        <v>-0.05</v>
      </c>
      <c r="J75" s="575">
        <f t="shared" si="8"/>
        <v>-0.1</v>
      </c>
      <c r="K75" s="575">
        <f t="shared" si="9"/>
        <v>0</v>
      </c>
      <c r="L75" s="575">
        <f t="shared" si="10"/>
        <v>0.1</v>
      </c>
      <c r="M75" s="575">
        <f t="shared" si="11"/>
        <v>-0.05</v>
      </c>
      <c r="N75" s="575">
        <f t="shared" si="12"/>
        <v>-0.05</v>
      </c>
    </row>
    <row r="76" spans="1:14" x14ac:dyDescent="0.25">
      <c r="A76" s="659"/>
      <c r="B76" s="658"/>
      <c r="C76" s="91" t="s">
        <v>116</v>
      </c>
      <c r="D76" s="543">
        <v>0.1</v>
      </c>
      <c r="E76" s="537">
        <v>-0.1</v>
      </c>
      <c r="F76" s="537">
        <v>0</v>
      </c>
      <c r="G76" s="537">
        <v>0.1</v>
      </c>
      <c r="H76" s="537">
        <v>-0.05</v>
      </c>
      <c r="I76" s="537">
        <v>-0.05</v>
      </c>
      <c r="J76" s="575">
        <f t="shared" si="8"/>
        <v>-0.1</v>
      </c>
      <c r="K76" s="575">
        <f t="shared" si="9"/>
        <v>0</v>
      </c>
      <c r="L76" s="575">
        <f t="shared" si="10"/>
        <v>0.1</v>
      </c>
      <c r="M76" s="575">
        <f t="shared" si="11"/>
        <v>-0.05</v>
      </c>
      <c r="N76" s="575">
        <f t="shared" si="12"/>
        <v>-0.05</v>
      </c>
    </row>
    <row r="77" spans="1:14" x14ac:dyDescent="0.25">
      <c r="A77" s="659"/>
      <c r="B77" s="658"/>
      <c r="C77" s="91" t="s">
        <v>120</v>
      </c>
      <c r="D77" s="91">
        <v>0.1</v>
      </c>
      <c r="E77" s="537">
        <v>-0.5</v>
      </c>
      <c r="F77" s="537">
        <v>0</v>
      </c>
      <c r="G77" s="537">
        <v>0.2</v>
      </c>
      <c r="H77" s="537">
        <v>-0.45</v>
      </c>
      <c r="I77" s="537">
        <v>0.25</v>
      </c>
      <c r="J77" s="575">
        <f t="shared" si="8"/>
        <v>-0.5</v>
      </c>
      <c r="K77" s="575">
        <f t="shared" si="9"/>
        <v>0</v>
      </c>
      <c r="L77" s="575">
        <f t="shared" si="10"/>
        <v>0.2</v>
      </c>
      <c r="M77" s="575">
        <f t="shared" si="11"/>
        <v>-0.45</v>
      </c>
      <c r="N77" s="575">
        <f t="shared" si="12"/>
        <v>0.25</v>
      </c>
    </row>
    <row r="78" spans="1:14" x14ac:dyDescent="0.25">
      <c r="A78" s="659"/>
      <c r="B78" s="658" t="s">
        <v>287</v>
      </c>
      <c r="C78" s="91" t="s">
        <v>117</v>
      </c>
      <c r="D78" s="91">
        <v>0.5</v>
      </c>
      <c r="E78" s="537">
        <v>-0.5</v>
      </c>
      <c r="F78" s="537">
        <v>0</v>
      </c>
      <c r="G78" s="537">
        <v>0.2</v>
      </c>
      <c r="H78" s="537">
        <v>-0.45</v>
      </c>
      <c r="I78" s="537">
        <v>0.25</v>
      </c>
      <c r="J78" s="575">
        <f t="shared" si="8"/>
        <v>-0.5</v>
      </c>
      <c r="K78" s="575">
        <f t="shared" si="9"/>
        <v>0</v>
      </c>
      <c r="L78" s="575">
        <f t="shared" si="10"/>
        <v>0.2</v>
      </c>
      <c r="M78" s="575">
        <f t="shared" si="11"/>
        <v>-0.45</v>
      </c>
      <c r="N78" s="575">
        <f t="shared" si="12"/>
        <v>0.25</v>
      </c>
    </row>
    <row r="79" spans="1:14" x14ac:dyDescent="0.25">
      <c r="A79" s="659"/>
      <c r="B79" s="658"/>
      <c r="C79" s="91" t="s">
        <v>118</v>
      </c>
      <c r="D79" s="91"/>
      <c r="E79" s="537">
        <v>0.5</v>
      </c>
      <c r="F79" s="537">
        <v>0</v>
      </c>
      <c r="G79" s="537">
        <v>-0.2</v>
      </c>
      <c r="H79" s="537">
        <v>0.45</v>
      </c>
      <c r="I79" s="537">
        <v>-0.25</v>
      </c>
      <c r="J79" s="575">
        <f t="shared" si="8"/>
        <v>0.5</v>
      </c>
      <c r="K79" s="575">
        <f t="shared" si="9"/>
        <v>0</v>
      </c>
      <c r="L79" s="575">
        <f t="shared" si="10"/>
        <v>-0.2</v>
      </c>
      <c r="M79" s="575">
        <f t="shared" si="11"/>
        <v>0.45</v>
      </c>
      <c r="N79" s="575">
        <f t="shared" si="12"/>
        <v>-0.25</v>
      </c>
    </row>
    <row r="80" spans="1:14" x14ac:dyDescent="0.25">
      <c r="A80" s="659"/>
      <c r="B80" s="658"/>
      <c r="C80" s="91" t="s">
        <v>119</v>
      </c>
      <c r="D80" s="91"/>
      <c r="E80" s="537">
        <v>0</v>
      </c>
      <c r="F80" s="537">
        <v>0</v>
      </c>
      <c r="G80" s="537">
        <v>0</v>
      </c>
      <c r="H80" s="537">
        <v>0</v>
      </c>
      <c r="I80" s="537">
        <v>0</v>
      </c>
      <c r="J80" s="575">
        <f t="shared" si="8"/>
        <v>0</v>
      </c>
      <c r="K80" s="575">
        <f t="shared" si="9"/>
        <v>0</v>
      </c>
      <c r="L80" s="575">
        <f t="shared" si="10"/>
        <v>0</v>
      </c>
      <c r="M80" s="575">
        <f t="shared" si="11"/>
        <v>0</v>
      </c>
      <c r="N80" s="575">
        <f t="shared" si="12"/>
        <v>0</v>
      </c>
    </row>
    <row r="81" spans="1:14" x14ac:dyDescent="0.25">
      <c r="A81" s="659"/>
      <c r="B81" s="658"/>
      <c r="C81" s="546" t="s">
        <v>126</v>
      </c>
      <c r="D81" s="91">
        <v>0.25</v>
      </c>
      <c r="E81" s="537">
        <v>0.25</v>
      </c>
      <c r="F81" s="537">
        <v>0</v>
      </c>
      <c r="G81" s="537">
        <v>-0.1</v>
      </c>
      <c r="H81" s="537">
        <v>0.2</v>
      </c>
      <c r="I81" s="537">
        <v>-0.1</v>
      </c>
      <c r="J81" s="575">
        <f t="shared" si="8"/>
        <v>0.25</v>
      </c>
      <c r="K81" s="575">
        <f t="shared" si="9"/>
        <v>0</v>
      </c>
      <c r="L81" s="575">
        <f t="shared" si="10"/>
        <v>-0.1</v>
      </c>
      <c r="M81" s="575">
        <f t="shared" si="11"/>
        <v>0.2</v>
      </c>
      <c r="N81" s="575">
        <f t="shared" si="12"/>
        <v>-0.1</v>
      </c>
    </row>
    <row r="82" spans="1:14" x14ac:dyDescent="0.25">
      <c r="A82" s="659"/>
      <c r="B82" s="658"/>
      <c r="C82" s="365" t="s">
        <v>134</v>
      </c>
      <c r="D82" s="365"/>
      <c r="E82" s="66" t="s">
        <v>1526</v>
      </c>
      <c r="F82" s="56" t="s">
        <v>1527</v>
      </c>
      <c r="G82" s="56" t="s">
        <v>1528</v>
      </c>
      <c r="H82" s="56" t="s">
        <v>1529</v>
      </c>
      <c r="I82" s="56" t="s">
        <v>1525</v>
      </c>
    </row>
    <row r="83" spans="1:14" x14ac:dyDescent="0.25">
      <c r="A83" s="556"/>
      <c r="B83" s="556"/>
    </row>
    <row r="84" spans="1:14" x14ac:dyDescent="0.25">
      <c r="A84" s="556"/>
      <c r="B84" s="556"/>
    </row>
    <row r="85" spans="1:14" x14ac:dyDescent="0.25">
      <c r="A85" s="556"/>
      <c r="B85" s="556"/>
    </row>
  </sheetData>
  <mergeCells count="36">
    <mergeCell ref="L18:M18"/>
    <mergeCell ref="B21:B23"/>
    <mergeCell ref="J21:K21"/>
    <mergeCell ref="L21:M21"/>
    <mergeCell ref="A24:A30"/>
    <mergeCell ref="B24:B30"/>
    <mergeCell ref="J24:K24"/>
    <mergeCell ref="L24:M24"/>
    <mergeCell ref="A3:A23"/>
    <mergeCell ref="B3:B6"/>
    <mergeCell ref="J3:K3"/>
    <mergeCell ref="L3:M3"/>
    <mergeCell ref="B7:B17"/>
    <mergeCell ref="J7:K7"/>
    <mergeCell ref="L7:M7"/>
    <mergeCell ref="B18:B20"/>
    <mergeCell ref="J18:K18"/>
    <mergeCell ref="A31:A40"/>
    <mergeCell ref="B31:B36"/>
    <mergeCell ref="B37:B40"/>
    <mergeCell ref="A41:A54"/>
    <mergeCell ref="B41:B50"/>
    <mergeCell ref="B51:B54"/>
    <mergeCell ref="A55:A63"/>
    <mergeCell ref="B55:B59"/>
    <mergeCell ref="B60:B63"/>
    <mergeCell ref="A64:A70"/>
    <mergeCell ref="B64:B66"/>
    <mergeCell ref="L64:M64"/>
    <mergeCell ref="B67:B70"/>
    <mergeCell ref="J67:K67"/>
    <mergeCell ref="L67:M67"/>
    <mergeCell ref="A71:A82"/>
    <mergeCell ref="B73:B77"/>
    <mergeCell ref="B78:B82"/>
    <mergeCell ref="J64:K64"/>
  </mergeCells>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
  <sheetViews>
    <sheetView zoomScale="70" zoomScaleNormal="70" workbookViewId="0">
      <pane xSplit="3" ySplit="1" topLeftCell="D50" activePane="bottomRight" state="frozen"/>
      <selection pane="topRight" activeCell="C1" sqref="C1"/>
      <selection pane="bottomLeft" activeCell="A2" sqref="A2"/>
      <selection pane="bottomRight" activeCell="C83" sqref="A83:XFD88"/>
    </sheetView>
  </sheetViews>
  <sheetFormatPr defaultColWidth="9.140625" defaultRowHeight="14.25" x14ac:dyDescent="0.2"/>
  <cols>
    <col min="1" max="1" width="17.7109375" style="58" customWidth="1"/>
    <col min="2" max="2" width="14.28515625" style="58" customWidth="1"/>
    <col min="3" max="3" width="77.5703125" style="55" bestFit="1" customWidth="1"/>
    <col min="4" max="4" width="16" style="55" customWidth="1"/>
    <col min="5" max="5" width="25.85546875" style="590" customWidth="1"/>
    <col min="6" max="6" width="25.5703125" style="590" customWidth="1"/>
    <col min="7" max="7" width="27.5703125" style="590" customWidth="1"/>
    <col min="8" max="8" width="25.85546875" style="590" customWidth="1"/>
    <col min="9" max="9" width="30.140625" style="590" customWidth="1"/>
    <col min="10" max="16384" width="9.140625" style="55"/>
  </cols>
  <sheetData>
    <row r="1" spans="1:9" s="593" customFormat="1" ht="123" customHeight="1" x14ac:dyDescent="0.2">
      <c r="A1" s="592"/>
      <c r="B1" s="592"/>
      <c r="C1" s="592" t="s">
        <v>190</v>
      </c>
      <c r="D1" s="592" t="s">
        <v>1524</v>
      </c>
      <c r="E1" s="58" t="s">
        <v>136</v>
      </c>
      <c r="F1" s="58" t="s">
        <v>137</v>
      </c>
      <c r="G1" s="58" t="s">
        <v>138</v>
      </c>
      <c r="H1" s="592" t="s">
        <v>139</v>
      </c>
      <c r="I1" s="58" t="s">
        <v>140</v>
      </c>
    </row>
    <row r="2" spans="1:9" x14ac:dyDescent="0.2">
      <c r="A2" s="592"/>
      <c r="B2" s="592"/>
      <c r="C2" s="589" t="s">
        <v>158</v>
      </c>
      <c r="E2" s="590" t="s">
        <v>153</v>
      </c>
      <c r="F2" s="590" t="s">
        <v>153</v>
      </c>
      <c r="G2" s="590" t="s">
        <v>153</v>
      </c>
      <c r="H2" s="590" t="s">
        <v>153</v>
      </c>
      <c r="I2" s="590" t="s">
        <v>153</v>
      </c>
    </row>
    <row r="3" spans="1:9" x14ac:dyDescent="0.2">
      <c r="A3" s="661" t="s">
        <v>142</v>
      </c>
      <c r="B3" s="662" t="s">
        <v>9</v>
      </c>
      <c r="C3" s="594" t="s">
        <v>1498</v>
      </c>
      <c r="D3" s="594"/>
      <c r="E3" s="595">
        <v>0.7646082852410363</v>
      </c>
      <c r="F3" s="595">
        <v>1</v>
      </c>
      <c r="G3" s="595">
        <v>1.4030858717560482</v>
      </c>
      <c r="H3" s="595">
        <v>1.029785920744843</v>
      </c>
      <c r="I3" s="595">
        <v>0.81822734357148763</v>
      </c>
    </row>
    <row r="4" spans="1:9" x14ac:dyDescent="0.2">
      <c r="A4" s="661"/>
      <c r="B4" s="662"/>
      <c r="C4" s="596" t="s">
        <v>7</v>
      </c>
      <c r="D4" s="9"/>
      <c r="E4" s="597"/>
      <c r="F4" s="597"/>
      <c r="G4" s="597"/>
      <c r="H4" s="597"/>
      <c r="I4" s="597"/>
    </row>
    <row r="5" spans="1:9" x14ac:dyDescent="0.2">
      <c r="A5" s="661"/>
      <c r="B5" s="662"/>
      <c r="C5" s="9" t="s">
        <v>6</v>
      </c>
      <c r="D5" s="9"/>
      <c r="E5" s="597"/>
      <c r="F5" s="597"/>
      <c r="G5" s="597"/>
      <c r="H5" s="597"/>
      <c r="I5" s="597"/>
    </row>
    <row r="6" spans="1:9" x14ac:dyDescent="0.2">
      <c r="A6" s="661"/>
      <c r="B6" s="662"/>
      <c r="C6" s="9" t="s">
        <v>5</v>
      </c>
      <c r="D6" s="9"/>
      <c r="E6" s="597"/>
      <c r="F6" s="597"/>
      <c r="G6" s="597"/>
      <c r="H6" s="597"/>
      <c r="I6" s="597"/>
    </row>
    <row r="7" spans="1:9" x14ac:dyDescent="0.2">
      <c r="A7" s="661"/>
      <c r="B7" s="661" t="s">
        <v>141</v>
      </c>
      <c r="C7" s="594" t="s">
        <v>1518</v>
      </c>
      <c r="D7" s="594"/>
      <c r="E7" s="595">
        <v>0.51749002734395078</v>
      </c>
      <c r="F7" s="595">
        <v>1</v>
      </c>
      <c r="G7" s="595">
        <v>4.5943082760197278</v>
      </c>
      <c r="H7" s="595">
        <v>3.1462289980559746</v>
      </c>
      <c r="I7" s="595">
        <v>0.51319261447510423</v>
      </c>
    </row>
    <row r="8" spans="1:9" s="582" customFormat="1" x14ac:dyDescent="0.2">
      <c r="A8" s="661"/>
      <c r="B8" s="661"/>
      <c r="C8" s="9" t="s">
        <v>33</v>
      </c>
      <c r="D8" s="9"/>
      <c r="E8" s="597"/>
      <c r="F8" s="597"/>
      <c r="G8" s="597"/>
      <c r="H8" s="597"/>
      <c r="I8" s="597"/>
    </row>
    <row r="9" spans="1:9" s="582" customFormat="1" x14ac:dyDescent="0.2">
      <c r="A9" s="661"/>
      <c r="B9" s="661"/>
      <c r="C9" s="9" t="s">
        <v>34</v>
      </c>
      <c r="D9" s="9"/>
      <c r="E9" s="597"/>
      <c r="F9" s="597"/>
      <c r="G9" s="597"/>
      <c r="H9" s="597"/>
      <c r="I9" s="597"/>
    </row>
    <row r="10" spans="1:9" s="582" customFormat="1" x14ac:dyDescent="0.2">
      <c r="A10" s="661"/>
      <c r="B10" s="661"/>
      <c r="C10" s="599" t="s">
        <v>1519</v>
      </c>
      <c r="D10" s="599"/>
      <c r="E10" s="595">
        <v>0.58805185729009313</v>
      </c>
      <c r="F10" s="595">
        <v>1</v>
      </c>
      <c r="G10" s="595">
        <v>1.0952830559718276</v>
      </c>
      <c r="H10" s="595">
        <v>0.58619981121534159</v>
      </c>
      <c r="I10" s="595">
        <v>0.6123263675290388</v>
      </c>
    </row>
    <row r="11" spans="1:9" s="582" customFormat="1" x14ac:dyDescent="0.2">
      <c r="A11" s="661"/>
      <c r="B11" s="661"/>
      <c r="C11" s="9" t="s">
        <v>35</v>
      </c>
      <c r="D11" s="9"/>
      <c r="E11" s="597"/>
      <c r="F11" s="597"/>
      <c r="G11" s="597"/>
      <c r="H11" s="597"/>
      <c r="I11" s="597"/>
    </row>
    <row r="12" spans="1:9" x14ac:dyDescent="0.2">
      <c r="A12" s="661"/>
      <c r="B12" s="661"/>
      <c r="C12" s="9" t="s">
        <v>36</v>
      </c>
      <c r="D12" s="9"/>
      <c r="E12" s="597"/>
      <c r="F12" s="597"/>
      <c r="G12" s="597"/>
      <c r="H12" s="597"/>
      <c r="I12" s="597"/>
    </row>
    <row r="13" spans="1:9" x14ac:dyDescent="0.2">
      <c r="A13" s="661"/>
      <c r="B13" s="661"/>
      <c r="C13" s="9" t="s">
        <v>1534</v>
      </c>
      <c r="D13" s="9"/>
      <c r="E13" s="597"/>
      <c r="F13" s="597"/>
      <c r="G13" s="597"/>
      <c r="H13" s="597"/>
      <c r="I13" s="597"/>
    </row>
    <row r="14" spans="1:9" x14ac:dyDescent="0.2">
      <c r="A14" s="661"/>
      <c r="B14" s="661"/>
      <c r="C14" s="599" t="s">
        <v>1520</v>
      </c>
      <c r="D14" s="599"/>
      <c r="E14" s="595">
        <v>1.1602782711436583</v>
      </c>
      <c r="F14" s="595">
        <v>1</v>
      </c>
      <c r="G14" s="595">
        <v>0.37486174033908626</v>
      </c>
      <c r="H14" s="595">
        <v>0.50661760286838453</v>
      </c>
      <c r="I14" s="595">
        <v>1.2396188572751115</v>
      </c>
    </row>
    <row r="15" spans="1:9" x14ac:dyDescent="0.2">
      <c r="A15" s="661"/>
      <c r="B15" s="661"/>
      <c r="C15" s="9" t="s">
        <v>37</v>
      </c>
      <c r="D15" s="9"/>
      <c r="E15" s="597"/>
      <c r="F15" s="597"/>
      <c r="G15" s="597"/>
      <c r="H15" s="597"/>
      <c r="I15" s="597"/>
    </row>
    <row r="16" spans="1:9" x14ac:dyDescent="0.2">
      <c r="A16" s="661"/>
      <c r="B16" s="661"/>
      <c r="C16" s="9" t="s">
        <v>38</v>
      </c>
      <c r="D16" s="9"/>
      <c r="E16" s="597"/>
      <c r="F16" s="597"/>
      <c r="G16" s="597"/>
      <c r="H16" s="597"/>
      <c r="I16" s="597"/>
    </row>
    <row r="17" spans="1:9" x14ac:dyDescent="0.2">
      <c r="A17" s="661"/>
      <c r="B17" s="661"/>
      <c r="C17" s="9" t="s">
        <v>1533</v>
      </c>
      <c r="D17" s="9"/>
      <c r="E17" s="597"/>
      <c r="F17" s="597"/>
      <c r="G17" s="597"/>
      <c r="H17" s="597"/>
      <c r="I17" s="597"/>
    </row>
    <row r="18" spans="1:9" x14ac:dyDescent="0.2">
      <c r="A18" s="661"/>
      <c r="B18" s="662" t="s">
        <v>10</v>
      </c>
      <c r="C18" s="594" t="s">
        <v>1499</v>
      </c>
      <c r="D18" s="594"/>
      <c r="E18" s="595">
        <v>1.3063596491228069</v>
      </c>
      <c r="F18" s="595">
        <v>1</v>
      </c>
      <c r="G18" s="595">
        <v>0.46271929824561403</v>
      </c>
      <c r="H18" s="595">
        <v>0.55679824561403513</v>
      </c>
      <c r="I18" s="595">
        <v>2.1890350877192981</v>
      </c>
    </row>
    <row r="19" spans="1:9" s="582" customFormat="1" x14ac:dyDescent="0.2">
      <c r="A19" s="661"/>
      <c r="B19" s="662"/>
      <c r="C19" s="9" t="s">
        <v>39</v>
      </c>
      <c r="D19" s="9"/>
      <c r="E19" s="597"/>
      <c r="F19" s="597"/>
      <c r="G19" s="597"/>
      <c r="H19" s="597"/>
      <c r="I19" s="597"/>
    </row>
    <row r="20" spans="1:9" s="582" customFormat="1" x14ac:dyDescent="0.2">
      <c r="A20" s="661"/>
      <c r="B20" s="662"/>
      <c r="C20" s="9" t="s">
        <v>40</v>
      </c>
      <c r="D20" s="9"/>
      <c r="E20" s="597"/>
      <c r="F20" s="597"/>
      <c r="G20" s="597"/>
      <c r="H20" s="597"/>
      <c r="I20" s="597"/>
    </row>
    <row r="21" spans="1:9" s="582" customFormat="1" x14ac:dyDescent="0.2">
      <c r="A21" s="661"/>
      <c r="B21" s="662" t="s">
        <v>170</v>
      </c>
      <c r="C21" s="594" t="s">
        <v>1500</v>
      </c>
      <c r="D21" s="594"/>
      <c r="E21" s="595">
        <v>0.96521594407922107</v>
      </c>
      <c r="F21" s="595">
        <v>1</v>
      </c>
      <c r="G21" s="595">
        <v>0.93367729050511772</v>
      </c>
      <c r="H21" s="595">
        <v>1.0158109345094448</v>
      </c>
      <c r="I21" s="595">
        <v>1.1427144878089373</v>
      </c>
    </row>
    <row r="22" spans="1:9" s="582" customFormat="1" x14ac:dyDescent="0.2">
      <c r="A22" s="661"/>
      <c r="B22" s="662"/>
      <c r="C22" s="589" t="s">
        <v>97</v>
      </c>
      <c r="D22" s="589">
        <v>0.5</v>
      </c>
      <c r="E22" s="600">
        <v>-0.1</v>
      </c>
      <c r="F22" s="600">
        <v>0</v>
      </c>
      <c r="G22" s="600">
        <v>-0.25</v>
      </c>
      <c r="H22" s="600">
        <v>0.05</v>
      </c>
      <c r="I22" s="600">
        <v>0.5</v>
      </c>
    </row>
    <row r="23" spans="1:9" x14ac:dyDescent="0.2">
      <c r="A23" s="661"/>
      <c r="B23" s="662"/>
      <c r="C23" s="601" t="s">
        <v>98</v>
      </c>
      <c r="D23" s="589">
        <v>0.5</v>
      </c>
      <c r="E23" s="600">
        <v>0.1</v>
      </c>
      <c r="F23" s="600">
        <v>0</v>
      </c>
      <c r="G23" s="600">
        <v>0.25</v>
      </c>
      <c r="H23" s="600">
        <v>-0.05</v>
      </c>
      <c r="I23" s="600">
        <v>-0.5</v>
      </c>
    </row>
    <row r="24" spans="1:9" ht="15" customHeight="1" x14ac:dyDescent="0.2">
      <c r="A24" s="661" t="s">
        <v>144</v>
      </c>
      <c r="B24" s="661" t="s">
        <v>393</v>
      </c>
      <c r="C24" s="599" t="s">
        <v>1501</v>
      </c>
      <c r="D24" s="599"/>
      <c r="E24" s="595">
        <v>0.51129549001889429</v>
      </c>
      <c r="F24" s="595">
        <v>1</v>
      </c>
      <c r="G24" s="595">
        <v>0.79990552862893283</v>
      </c>
      <c r="H24" s="595">
        <v>0.72495481803992445</v>
      </c>
      <c r="I24" s="595">
        <v>1.2235685533557874</v>
      </c>
    </row>
    <row r="25" spans="1:9" x14ac:dyDescent="0.2">
      <c r="A25" s="661"/>
      <c r="B25" s="661"/>
      <c r="C25" s="599" t="s">
        <v>1502</v>
      </c>
      <c r="D25" s="599"/>
      <c r="E25" s="595">
        <v>0.18160811761160039</v>
      </c>
      <c r="F25" s="595">
        <v>1</v>
      </c>
      <c r="G25" s="595">
        <v>0.68597836643113086</v>
      </c>
      <c r="H25" s="595">
        <v>0.67760624225578514</v>
      </c>
      <c r="I25" s="595">
        <v>0.65570476541308065</v>
      </c>
    </row>
    <row r="26" spans="1:9" x14ac:dyDescent="0.2">
      <c r="A26" s="661"/>
      <c r="B26" s="661"/>
      <c r="C26" s="599" t="s">
        <v>1503</v>
      </c>
      <c r="D26" s="599"/>
      <c r="E26" s="595">
        <v>0.62563718572703975</v>
      </c>
      <c r="F26" s="595">
        <v>1</v>
      </c>
      <c r="G26" s="595">
        <v>0.73760907755666272</v>
      </c>
      <c r="H26" s="595">
        <v>0.60559283472050218</v>
      </c>
      <c r="I26" s="595">
        <v>1.2858911960372088</v>
      </c>
    </row>
    <row r="27" spans="1:9" x14ac:dyDescent="0.2">
      <c r="A27" s="661"/>
      <c r="B27" s="661"/>
      <c r="C27" s="599" t="s">
        <v>1504</v>
      </c>
      <c r="D27" s="599"/>
      <c r="E27" s="595">
        <v>0.32186916928903619</v>
      </c>
      <c r="F27" s="595">
        <v>1</v>
      </c>
      <c r="G27" s="595">
        <v>1.5116544598847088</v>
      </c>
      <c r="H27" s="595">
        <v>0.6076192597955945</v>
      </c>
      <c r="I27" s="595">
        <v>2.4734746163914343</v>
      </c>
    </row>
    <row r="28" spans="1:9" x14ac:dyDescent="0.2">
      <c r="A28" s="661"/>
      <c r="B28" s="661"/>
      <c r="C28" s="599" t="s">
        <v>1505</v>
      </c>
      <c r="D28" s="599"/>
      <c r="E28" s="595">
        <v>1.4927169094363519</v>
      </c>
      <c r="F28" s="595">
        <v>1</v>
      </c>
      <c r="G28" s="595">
        <v>3.090563647878404E-2</v>
      </c>
      <c r="H28" s="595">
        <v>0.60037998733375553</v>
      </c>
      <c r="I28" s="595">
        <v>1.024572514249525</v>
      </c>
    </row>
    <row r="29" spans="1:9" x14ac:dyDescent="0.2">
      <c r="A29" s="661"/>
      <c r="B29" s="661"/>
      <c r="C29" s="599" t="s">
        <v>1506</v>
      </c>
      <c r="D29" s="599"/>
      <c r="E29" s="595">
        <v>0.37628682996095136</v>
      </c>
      <c r="F29" s="595">
        <v>1</v>
      </c>
      <c r="G29" s="595">
        <v>5.5496390959649748E-2</v>
      </c>
      <c r="H29" s="595">
        <v>0.30753756951840017</v>
      </c>
      <c r="I29" s="595">
        <v>0.73636256064371075</v>
      </c>
    </row>
    <row r="30" spans="1:9" x14ac:dyDescent="0.2">
      <c r="A30" s="661"/>
      <c r="B30" s="661"/>
      <c r="C30" s="599" t="s">
        <v>1507</v>
      </c>
      <c r="D30" s="599"/>
      <c r="E30" s="595">
        <v>2.0918367346938775</v>
      </c>
      <c r="F30" s="595">
        <v>1</v>
      </c>
      <c r="G30" s="595">
        <v>2.5615290892476397</v>
      </c>
      <c r="H30" s="595">
        <v>1.6873286628084072</v>
      </c>
      <c r="I30" s="595">
        <v>1.1407249466950962</v>
      </c>
    </row>
    <row r="31" spans="1:9" ht="14.25" customHeight="1" x14ac:dyDescent="0.2">
      <c r="A31" s="661"/>
      <c r="B31" s="661"/>
      <c r="C31" s="589" t="s">
        <v>44</v>
      </c>
      <c r="D31" s="589">
        <v>0.25</v>
      </c>
      <c r="E31" s="644">
        <v>-0.3</v>
      </c>
      <c r="F31" s="602">
        <v>0</v>
      </c>
      <c r="G31" s="603">
        <v>-0.05</v>
      </c>
      <c r="H31" s="603">
        <v>-0.08</v>
      </c>
      <c r="I31" s="603">
        <v>0.6</v>
      </c>
    </row>
    <row r="32" spans="1:9" x14ac:dyDescent="0.2">
      <c r="A32" s="661"/>
      <c r="B32" s="661"/>
      <c r="C32" s="552" t="s">
        <v>45</v>
      </c>
      <c r="D32" s="552">
        <v>0.25</v>
      </c>
      <c r="E32" s="603">
        <v>-0.25</v>
      </c>
      <c r="F32" s="602">
        <v>0</v>
      </c>
      <c r="G32" s="602">
        <v>0.65</v>
      </c>
      <c r="H32" s="644">
        <v>0.3</v>
      </c>
      <c r="I32" s="603">
        <v>0.05</v>
      </c>
    </row>
    <row r="33" spans="1:9" x14ac:dyDescent="0.2">
      <c r="A33" s="661"/>
      <c r="B33" s="661"/>
      <c r="C33" s="552" t="s">
        <v>46</v>
      </c>
      <c r="D33" s="552">
        <v>0.25</v>
      </c>
      <c r="E33" s="644">
        <v>0.75</v>
      </c>
      <c r="F33" s="602">
        <v>0</v>
      </c>
      <c r="G33" s="602">
        <v>0.2</v>
      </c>
      <c r="H33" s="644">
        <v>0.3</v>
      </c>
      <c r="I33" s="603">
        <v>0.2</v>
      </c>
    </row>
    <row r="34" spans="1:9" x14ac:dyDescent="0.2">
      <c r="A34" s="661"/>
      <c r="B34" s="661"/>
      <c r="C34" s="552" t="s">
        <v>47</v>
      </c>
      <c r="D34" s="552">
        <v>0.25</v>
      </c>
      <c r="E34" s="602">
        <v>-0.1</v>
      </c>
      <c r="F34" s="602">
        <v>0</v>
      </c>
      <c r="G34" s="602">
        <v>0.4044943820224719</v>
      </c>
      <c r="H34" s="602">
        <v>-0.05</v>
      </c>
      <c r="I34" s="603">
        <v>0.25</v>
      </c>
    </row>
    <row r="35" spans="1:9" x14ac:dyDescent="0.2">
      <c r="A35" s="661"/>
      <c r="B35" s="661"/>
      <c r="C35" s="552" t="s">
        <v>48</v>
      </c>
      <c r="D35" s="552">
        <v>0.5</v>
      </c>
      <c r="E35" s="602">
        <v>0.25</v>
      </c>
      <c r="F35" s="602">
        <v>0</v>
      </c>
      <c r="G35" s="602">
        <v>-0.5</v>
      </c>
      <c r="H35" s="602">
        <v>-0.2</v>
      </c>
      <c r="I35" s="603">
        <v>0</v>
      </c>
    </row>
    <row r="36" spans="1:9" x14ac:dyDescent="0.2">
      <c r="A36" s="661"/>
      <c r="B36" s="661"/>
      <c r="C36" s="552" t="s">
        <v>49</v>
      </c>
      <c r="D36" s="552">
        <v>0.5</v>
      </c>
      <c r="E36" s="602">
        <v>0</v>
      </c>
      <c r="F36" s="602">
        <v>0</v>
      </c>
      <c r="G36" s="602">
        <v>0.5</v>
      </c>
      <c r="H36" s="602">
        <v>0.2</v>
      </c>
      <c r="I36" s="603">
        <v>0.05</v>
      </c>
    </row>
    <row r="37" spans="1:9" x14ac:dyDescent="0.2">
      <c r="A37" s="661"/>
      <c r="B37" s="662" t="s">
        <v>394</v>
      </c>
      <c r="C37" s="552" t="s">
        <v>50</v>
      </c>
      <c r="D37" s="552">
        <v>0.3</v>
      </c>
      <c r="E37" s="644">
        <v>-0.1</v>
      </c>
      <c r="F37" s="602">
        <v>0</v>
      </c>
      <c r="G37" s="602">
        <v>0.1</v>
      </c>
      <c r="H37" s="644">
        <v>0.25</v>
      </c>
      <c r="I37" s="603">
        <v>0.30000000000000004</v>
      </c>
    </row>
    <row r="38" spans="1:9" x14ac:dyDescent="0.2">
      <c r="A38" s="661"/>
      <c r="B38" s="662"/>
      <c r="C38" s="55" t="s">
        <v>1492</v>
      </c>
      <c r="D38" s="552">
        <v>2</v>
      </c>
      <c r="E38" s="644">
        <v>2.25</v>
      </c>
      <c r="F38" s="602">
        <v>0</v>
      </c>
      <c r="G38" s="602">
        <v>-0.9</v>
      </c>
      <c r="H38" s="644">
        <v>0.5</v>
      </c>
      <c r="I38" s="603">
        <v>0.2</v>
      </c>
    </row>
    <row r="39" spans="1:9" x14ac:dyDescent="0.2">
      <c r="A39" s="661"/>
      <c r="B39" s="662"/>
      <c r="C39" s="55" t="s">
        <v>1493</v>
      </c>
      <c r="D39" s="552">
        <v>0.2</v>
      </c>
      <c r="E39" s="644">
        <v>0.5</v>
      </c>
      <c r="F39" s="602">
        <v>0</v>
      </c>
      <c r="G39" s="602">
        <v>-0.8</v>
      </c>
      <c r="H39" s="644">
        <v>0</v>
      </c>
      <c r="I39" s="603">
        <v>-0.05</v>
      </c>
    </row>
    <row r="40" spans="1:9" s="582" customFormat="1" x14ac:dyDescent="0.2">
      <c r="A40" s="661"/>
      <c r="B40" s="662"/>
      <c r="C40" s="55" t="s">
        <v>1494</v>
      </c>
      <c r="D40" s="552">
        <v>0.3</v>
      </c>
      <c r="E40" s="644">
        <v>2.5</v>
      </c>
      <c r="F40" s="602">
        <v>0</v>
      </c>
      <c r="G40" s="644">
        <v>3</v>
      </c>
      <c r="H40" s="644">
        <v>1.5</v>
      </c>
      <c r="I40" s="603">
        <v>0.25</v>
      </c>
    </row>
    <row r="41" spans="1:9" s="582" customFormat="1" x14ac:dyDescent="0.2">
      <c r="A41" s="661" t="s">
        <v>1552</v>
      </c>
      <c r="B41" s="661" t="s">
        <v>1551</v>
      </c>
      <c r="C41" s="55" t="s">
        <v>84</v>
      </c>
      <c r="D41" s="552"/>
      <c r="E41" s="602">
        <v>0</v>
      </c>
      <c r="F41" s="602">
        <v>0</v>
      </c>
      <c r="G41" s="602">
        <v>0</v>
      </c>
      <c r="H41" s="602">
        <v>0</v>
      </c>
      <c r="I41" s="603">
        <v>0</v>
      </c>
    </row>
    <row r="42" spans="1:9" s="582" customFormat="1" ht="14.25" customHeight="1" x14ac:dyDescent="0.2">
      <c r="A42" s="661"/>
      <c r="B42" s="661"/>
      <c r="C42" s="55" t="s">
        <v>70</v>
      </c>
      <c r="D42" s="552">
        <v>0.5</v>
      </c>
      <c r="E42" s="602">
        <v>-0.5</v>
      </c>
      <c r="F42" s="602">
        <v>0</v>
      </c>
      <c r="G42" s="602">
        <v>-0.2</v>
      </c>
      <c r="H42" s="602">
        <v>-0.2</v>
      </c>
      <c r="I42" s="603">
        <v>0.2</v>
      </c>
    </row>
    <row r="43" spans="1:9" s="582" customFormat="1" x14ac:dyDescent="0.2">
      <c r="A43" s="661"/>
      <c r="B43" s="661"/>
      <c r="C43" s="552" t="s">
        <v>74</v>
      </c>
      <c r="D43" s="552">
        <v>0.5</v>
      </c>
      <c r="E43" s="602">
        <v>-0.25</v>
      </c>
      <c r="F43" s="602">
        <v>0</v>
      </c>
      <c r="G43" s="602">
        <v>0.15000000000000002</v>
      </c>
      <c r="H43" s="602">
        <v>-0.15000000000000002</v>
      </c>
      <c r="I43" s="603">
        <v>0.5</v>
      </c>
    </row>
    <row r="44" spans="1:9" s="582" customFormat="1" x14ac:dyDescent="0.2">
      <c r="A44" s="661"/>
      <c r="B44" s="661"/>
      <c r="C44" s="552" t="s">
        <v>78</v>
      </c>
      <c r="D44" s="552"/>
      <c r="E44" s="602">
        <v>-0.5</v>
      </c>
      <c r="F44" s="602">
        <v>0</v>
      </c>
      <c r="G44" s="602">
        <v>-0.2</v>
      </c>
      <c r="H44" s="602">
        <v>-0.2</v>
      </c>
      <c r="I44" s="603">
        <v>0.2</v>
      </c>
    </row>
    <row r="45" spans="1:9" s="582" customFormat="1" x14ac:dyDescent="0.2">
      <c r="A45" s="661"/>
      <c r="B45" s="661"/>
      <c r="C45" s="589" t="s">
        <v>73</v>
      </c>
      <c r="D45" s="552">
        <v>0.5</v>
      </c>
      <c r="E45" s="602">
        <v>-0.5</v>
      </c>
      <c r="F45" s="602">
        <v>0</v>
      </c>
      <c r="G45" s="602">
        <v>-0.2</v>
      </c>
      <c r="H45" s="602">
        <v>-0.2</v>
      </c>
      <c r="I45" s="603">
        <v>0.2</v>
      </c>
    </row>
    <row r="46" spans="1:9" s="582" customFormat="1" x14ac:dyDescent="0.2">
      <c r="A46" s="661"/>
      <c r="B46" s="661"/>
      <c r="C46" s="589" t="s">
        <v>77</v>
      </c>
      <c r="D46" s="589">
        <v>0.5</v>
      </c>
      <c r="E46" s="602">
        <v>-0.45</v>
      </c>
      <c r="F46" s="602">
        <v>0</v>
      </c>
      <c r="G46" s="602">
        <v>-0.35000000000000003</v>
      </c>
      <c r="H46" s="602">
        <v>-0.5</v>
      </c>
      <c r="I46" s="603">
        <v>0.35000000000000003</v>
      </c>
    </row>
    <row r="47" spans="1:9" s="582" customFormat="1" x14ac:dyDescent="0.2">
      <c r="A47" s="661"/>
      <c r="B47" s="661"/>
      <c r="C47" s="55" t="s">
        <v>81</v>
      </c>
      <c r="D47" s="589">
        <v>0.5</v>
      </c>
      <c r="E47" s="602">
        <v>-0.25</v>
      </c>
      <c r="F47" s="602">
        <v>0</v>
      </c>
      <c r="G47" s="602">
        <v>0.15000000000000002</v>
      </c>
      <c r="H47" s="602">
        <v>-0.15000000000000002</v>
      </c>
      <c r="I47" s="603">
        <v>0.5</v>
      </c>
    </row>
    <row r="48" spans="1:9" s="582" customFormat="1" x14ac:dyDescent="0.2">
      <c r="A48" s="661"/>
      <c r="B48" s="661"/>
      <c r="C48" s="552" t="s">
        <v>56</v>
      </c>
      <c r="D48" s="589">
        <v>0.25</v>
      </c>
      <c r="E48" s="602">
        <v>0.15000000000000002</v>
      </c>
      <c r="F48" s="602">
        <v>0</v>
      </c>
      <c r="G48" s="602">
        <v>-0.25</v>
      </c>
      <c r="H48" s="602">
        <v>-0.1</v>
      </c>
      <c r="I48" s="603">
        <v>0</v>
      </c>
    </row>
    <row r="49" spans="1:9" s="582" customFormat="1" x14ac:dyDescent="0.2">
      <c r="A49" s="661"/>
      <c r="B49" s="661"/>
      <c r="C49" s="55" t="s">
        <v>63</v>
      </c>
      <c r="D49" s="552">
        <v>0.3</v>
      </c>
      <c r="E49" s="602">
        <v>0.15000000000000002</v>
      </c>
      <c r="F49" s="602">
        <v>0</v>
      </c>
      <c r="G49" s="602">
        <v>-0.30000000000000004</v>
      </c>
      <c r="H49" s="602">
        <v>-0.1</v>
      </c>
      <c r="I49" s="603">
        <v>0</v>
      </c>
    </row>
    <row r="50" spans="1:9" s="582" customFormat="1" x14ac:dyDescent="0.2">
      <c r="A50" s="661"/>
      <c r="B50" s="661"/>
      <c r="C50" s="539" t="s">
        <v>69</v>
      </c>
      <c r="D50" s="552">
        <v>0.3</v>
      </c>
      <c r="E50" s="602">
        <v>-0.15000000000000002</v>
      </c>
      <c r="F50" s="602">
        <v>0</v>
      </c>
      <c r="G50" s="602">
        <v>0.30000000000000004</v>
      </c>
      <c r="H50" s="602">
        <v>0.1</v>
      </c>
      <c r="I50" s="603">
        <v>0</v>
      </c>
    </row>
    <row r="51" spans="1:9" x14ac:dyDescent="0.2">
      <c r="A51" s="661"/>
      <c r="B51" s="662" t="s">
        <v>1553</v>
      </c>
      <c r="C51" s="589" t="s">
        <v>71</v>
      </c>
      <c r="D51" s="589">
        <v>0.5</v>
      </c>
      <c r="E51" s="602">
        <v>-0.5</v>
      </c>
      <c r="F51" s="602">
        <v>0</v>
      </c>
      <c r="G51" s="602">
        <v>-0.2</v>
      </c>
      <c r="H51" s="602">
        <v>-0.2</v>
      </c>
      <c r="I51" s="603">
        <v>0.2</v>
      </c>
    </row>
    <row r="52" spans="1:9" x14ac:dyDescent="0.2">
      <c r="A52" s="661"/>
      <c r="B52" s="662"/>
      <c r="C52" s="589" t="s">
        <v>75</v>
      </c>
      <c r="D52" s="589">
        <v>0.25</v>
      </c>
      <c r="E52" s="602">
        <v>-0.25</v>
      </c>
      <c r="F52" s="602">
        <v>0</v>
      </c>
      <c r="G52" s="602">
        <v>-0.15000000000000002</v>
      </c>
      <c r="H52" s="602">
        <v>-0.25</v>
      </c>
      <c r="I52" s="603">
        <v>0.2</v>
      </c>
    </row>
    <row r="53" spans="1:9" x14ac:dyDescent="0.2">
      <c r="A53" s="661"/>
      <c r="B53" s="662"/>
      <c r="C53" s="589" t="s">
        <v>79</v>
      </c>
      <c r="D53" s="589">
        <v>0.5</v>
      </c>
      <c r="E53" s="602">
        <v>-0.25</v>
      </c>
      <c r="F53" s="602">
        <v>0</v>
      </c>
      <c r="G53" s="602">
        <v>0.15000000000000002</v>
      </c>
      <c r="H53" s="602">
        <v>-0.15000000000000002</v>
      </c>
      <c r="I53" s="603">
        <v>0.5</v>
      </c>
    </row>
    <row r="54" spans="1:9" x14ac:dyDescent="0.2">
      <c r="A54" s="661"/>
      <c r="B54" s="662"/>
      <c r="C54" s="607" t="s">
        <v>82</v>
      </c>
      <c r="D54" s="552">
        <v>0.5</v>
      </c>
      <c r="E54" s="602">
        <v>0.25</v>
      </c>
      <c r="F54" s="602">
        <v>0</v>
      </c>
      <c r="G54" s="602">
        <v>-0.15000000000000002</v>
      </c>
      <c r="H54" s="602">
        <v>0.15000000000000002</v>
      </c>
      <c r="I54" s="603">
        <v>-0.5</v>
      </c>
    </row>
    <row r="55" spans="1:9" x14ac:dyDescent="0.2">
      <c r="A55" s="661" t="s">
        <v>1512</v>
      </c>
      <c r="B55" s="662" t="s">
        <v>1554</v>
      </c>
      <c r="C55" s="55" t="s">
        <v>171</v>
      </c>
      <c r="D55" s="552">
        <v>0.5</v>
      </c>
      <c r="E55" s="602">
        <v>-0.25</v>
      </c>
      <c r="F55" s="602">
        <v>0</v>
      </c>
      <c r="G55" s="602">
        <v>0.15000000000000002</v>
      </c>
      <c r="H55" s="602">
        <v>-0.15000000000000002</v>
      </c>
      <c r="I55" s="603">
        <v>0.5</v>
      </c>
    </row>
    <row r="56" spans="1:9" x14ac:dyDescent="0.2">
      <c r="A56" s="661"/>
      <c r="B56" s="662"/>
      <c r="C56" s="55" t="s">
        <v>1495</v>
      </c>
      <c r="D56" s="552">
        <v>0.5</v>
      </c>
      <c r="E56" s="602">
        <v>-0.5</v>
      </c>
      <c r="F56" s="602">
        <v>0</v>
      </c>
      <c r="G56" s="602">
        <v>-0.2</v>
      </c>
      <c r="H56" s="602">
        <v>-0.2</v>
      </c>
      <c r="I56" s="603">
        <v>0.75</v>
      </c>
    </row>
    <row r="57" spans="1:9" x14ac:dyDescent="0.2">
      <c r="A57" s="661"/>
      <c r="B57" s="662"/>
      <c r="C57" s="55" t="s">
        <v>1496</v>
      </c>
      <c r="D57" s="552">
        <v>0.5</v>
      </c>
      <c r="E57" s="602">
        <v>-0.45</v>
      </c>
      <c r="F57" s="602">
        <v>0</v>
      </c>
      <c r="G57" s="602">
        <v>-0.35000000000000003</v>
      </c>
      <c r="H57" s="602">
        <v>-0.5</v>
      </c>
      <c r="I57" s="603">
        <v>0.35000000000000003</v>
      </c>
    </row>
    <row r="58" spans="1:9" x14ac:dyDescent="0.2">
      <c r="A58" s="661"/>
      <c r="B58" s="662"/>
      <c r="C58" s="601" t="s">
        <v>55</v>
      </c>
      <c r="D58" s="589">
        <v>0.75</v>
      </c>
      <c r="E58" s="602">
        <v>-0.4</v>
      </c>
      <c r="F58" s="602">
        <v>0</v>
      </c>
      <c r="G58" s="602">
        <v>0.75</v>
      </c>
      <c r="H58" s="602">
        <v>0.30000000000000004</v>
      </c>
      <c r="I58" s="602">
        <v>0</v>
      </c>
    </row>
    <row r="59" spans="1:9" x14ac:dyDescent="0.2">
      <c r="A59" s="661"/>
      <c r="B59" s="662"/>
      <c r="C59" s="601" t="s">
        <v>61</v>
      </c>
      <c r="D59" s="589">
        <v>0.9</v>
      </c>
      <c r="E59" s="602">
        <v>-0.65</v>
      </c>
      <c r="F59" s="602">
        <v>0</v>
      </c>
      <c r="G59" s="602">
        <v>-0.9</v>
      </c>
      <c r="H59" s="602">
        <v>-0.4</v>
      </c>
      <c r="I59" s="602">
        <v>-0.1</v>
      </c>
    </row>
    <row r="60" spans="1:9" x14ac:dyDescent="0.2">
      <c r="A60" s="661"/>
      <c r="B60" s="662" t="s">
        <v>285</v>
      </c>
      <c r="C60" s="599" t="s">
        <v>1514</v>
      </c>
      <c r="D60" s="599"/>
      <c r="E60" s="608">
        <v>0.75081912900486103</v>
      </c>
      <c r="F60" s="608">
        <v>1</v>
      </c>
      <c r="G60" s="608">
        <v>1.0523019330463788</v>
      </c>
      <c r="H60" s="608">
        <v>0.90947115515778898</v>
      </c>
      <c r="I60" s="608">
        <v>1.3065035856229865</v>
      </c>
    </row>
    <row r="61" spans="1:9" x14ac:dyDescent="0.2">
      <c r="A61" s="661"/>
      <c r="B61" s="662"/>
      <c r="C61" s="599" t="s">
        <v>1513</v>
      </c>
      <c r="D61" s="599"/>
      <c r="E61" s="608">
        <v>0.28725144192278157</v>
      </c>
      <c r="F61" s="608">
        <v>1</v>
      </c>
      <c r="G61" s="608">
        <v>0.99452372782846787</v>
      </c>
      <c r="H61" s="608">
        <v>0.52267185782209558</v>
      </c>
      <c r="I61" s="608">
        <v>1.4716561513091095</v>
      </c>
    </row>
    <row r="62" spans="1:9" ht="14.25" customHeight="1" x14ac:dyDescent="0.2">
      <c r="A62" s="661"/>
      <c r="B62" s="662"/>
      <c r="C62" s="589" t="s">
        <v>127</v>
      </c>
      <c r="D62" s="589">
        <v>0.5</v>
      </c>
      <c r="E62" s="644">
        <v>-1</v>
      </c>
      <c r="F62" s="602">
        <v>0</v>
      </c>
      <c r="G62" s="644">
        <v>3</v>
      </c>
      <c r="H62" s="644">
        <v>2</v>
      </c>
      <c r="I62" s="644">
        <v>3</v>
      </c>
    </row>
    <row r="63" spans="1:9" x14ac:dyDescent="0.2">
      <c r="A63" s="661"/>
      <c r="B63" s="662"/>
      <c r="C63" s="9" t="s">
        <v>1061</v>
      </c>
      <c r="D63" s="9"/>
      <c r="E63" s="609" t="s">
        <v>1604</v>
      </c>
      <c r="F63" s="609" t="s">
        <v>1604</v>
      </c>
      <c r="G63" s="609" t="s">
        <v>1531</v>
      </c>
      <c r="H63" s="609" t="s">
        <v>1531</v>
      </c>
      <c r="I63" s="609" t="s">
        <v>1531</v>
      </c>
    </row>
    <row r="64" spans="1:9" s="582" customFormat="1" x14ac:dyDescent="0.2">
      <c r="A64" s="661" t="s">
        <v>135</v>
      </c>
      <c r="B64" s="662" t="s">
        <v>1539</v>
      </c>
      <c r="C64" s="594" t="s">
        <v>1515</v>
      </c>
      <c r="D64" s="594"/>
      <c r="E64" s="595">
        <v>1.032815256527974</v>
      </c>
      <c r="F64" s="595">
        <v>1</v>
      </c>
      <c r="G64" s="595">
        <v>0.85766385705000581</v>
      </c>
      <c r="H64" s="595">
        <v>1.0024038213537745</v>
      </c>
      <c r="I64" s="595">
        <v>1.0237390254722529</v>
      </c>
    </row>
    <row r="65" spans="1:9" s="582" customFormat="1" ht="14.25" customHeight="1" x14ac:dyDescent="0.2">
      <c r="A65" s="661"/>
      <c r="B65" s="662"/>
      <c r="C65" s="601" t="s">
        <v>88</v>
      </c>
      <c r="D65" s="589">
        <v>0.25</v>
      </c>
      <c r="E65" s="611">
        <v>-0.05</v>
      </c>
      <c r="F65" s="611">
        <v>0</v>
      </c>
      <c r="G65" s="611">
        <v>0.25</v>
      </c>
      <c r="H65" s="611">
        <v>0</v>
      </c>
      <c r="I65" s="611">
        <v>-0.02</v>
      </c>
    </row>
    <row r="66" spans="1:9" s="582" customFormat="1" x14ac:dyDescent="0.2">
      <c r="A66" s="661"/>
      <c r="B66" s="662"/>
      <c r="C66" s="41" t="s">
        <v>89</v>
      </c>
      <c r="D66" s="589">
        <v>0.5</v>
      </c>
      <c r="E66" s="611">
        <v>0.1</v>
      </c>
      <c r="F66" s="611">
        <v>0</v>
      </c>
      <c r="G66" s="611">
        <v>-0.5</v>
      </c>
      <c r="H66" s="611">
        <v>0</v>
      </c>
      <c r="I66" s="611">
        <v>0.05</v>
      </c>
    </row>
    <row r="67" spans="1:9" x14ac:dyDescent="0.2">
      <c r="A67" s="661"/>
      <c r="B67" s="662" t="s">
        <v>388</v>
      </c>
      <c r="C67" s="594" t="s">
        <v>1516</v>
      </c>
      <c r="D67" s="594"/>
      <c r="E67" s="595">
        <v>0.68793367177281695</v>
      </c>
      <c r="F67" s="595">
        <v>1</v>
      </c>
      <c r="G67" s="595">
        <v>1.1144560952359841</v>
      </c>
      <c r="H67" s="595">
        <v>0.71932430335409792</v>
      </c>
      <c r="I67" s="595">
        <v>1.1444944467844556</v>
      </c>
    </row>
    <row r="68" spans="1:9" x14ac:dyDescent="0.2">
      <c r="A68" s="661"/>
      <c r="B68" s="662"/>
      <c r="C68" s="594" t="s">
        <v>1517</v>
      </c>
      <c r="D68" s="594"/>
      <c r="E68" s="595">
        <v>1.0072636282394996</v>
      </c>
      <c r="F68" s="595">
        <v>1</v>
      </c>
      <c r="G68" s="595">
        <v>1.3653386952636282</v>
      </c>
      <c r="H68" s="595">
        <v>0.94979982126899021</v>
      </c>
      <c r="I68" s="595">
        <v>1.1077462019660411</v>
      </c>
    </row>
    <row r="69" spans="1:9" ht="14.25" customHeight="1" x14ac:dyDescent="0.2">
      <c r="A69" s="661"/>
      <c r="B69" s="662"/>
      <c r="C69" s="552" t="s">
        <v>109</v>
      </c>
      <c r="D69" s="552">
        <v>0.5</v>
      </c>
      <c r="E69" s="602">
        <v>0.25</v>
      </c>
      <c r="F69" s="602">
        <v>0</v>
      </c>
      <c r="G69" s="602">
        <v>-0.25</v>
      </c>
      <c r="H69" s="602">
        <v>-0.1</v>
      </c>
      <c r="I69" s="602">
        <v>0.15</v>
      </c>
    </row>
    <row r="70" spans="1:9" x14ac:dyDescent="0.2">
      <c r="A70" s="661"/>
      <c r="B70" s="662"/>
      <c r="C70" s="589" t="s">
        <v>107</v>
      </c>
      <c r="D70" s="589">
        <v>0.5</v>
      </c>
      <c r="E70" s="602">
        <v>0.15</v>
      </c>
      <c r="F70" s="602">
        <v>0</v>
      </c>
      <c r="G70" s="602">
        <v>-0.25</v>
      </c>
      <c r="H70" s="602">
        <v>-0.1</v>
      </c>
      <c r="I70" s="602">
        <v>0.15</v>
      </c>
    </row>
    <row r="71" spans="1:9" x14ac:dyDescent="0.2">
      <c r="A71" s="661" t="s">
        <v>1555</v>
      </c>
      <c r="B71" s="612"/>
      <c r="C71" s="599" t="s">
        <v>1521</v>
      </c>
      <c r="D71" s="613"/>
      <c r="E71" s="595">
        <v>0.82404143475572045</v>
      </c>
      <c r="F71" s="608">
        <v>1</v>
      </c>
      <c r="G71" s="608">
        <v>1.1763141620284476</v>
      </c>
      <c r="H71" s="608">
        <v>0.90771490414347544</v>
      </c>
      <c r="I71" s="608">
        <v>0.92368583797155213</v>
      </c>
    </row>
    <row r="72" spans="1:9" x14ac:dyDescent="0.2">
      <c r="A72" s="661"/>
      <c r="B72" s="612"/>
      <c r="C72" s="599" t="s">
        <v>1522</v>
      </c>
      <c r="D72" s="599"/>
      <c r="E72" s="608">
        <v>0.68577938052877929</v>
      </c>
      <c r="F72" s="608">
        <v>1</v>
      </c>
      <c r="G72" s="608">
        <v>1.020163256535358</v>
      </c>
      <c r="H72" s="608">
        <v>1.0169372456864847</v>
      </c>
      <c r="I72" s="608">
        <v>0.78344679010543083</v>
      </c>
    </row>
    <row r="73" spans="1:9" x14ac:dyDescent="0.2">
      <c r="A73" s="661"/>
      <c r="B73" s="662" t="s">
        <v>387</v>
      </c>
      <c r="C73" s="55" t="s">
        <v>110</v>
      </c>
      <c r="D73" s="552">
        <v>0.5</v>
      </c>
      <c r="E73" s="602">
        <v>-0.5</v>
      </c>
      <c r="F73" s="602">
        <v>0</v>
      </c>
      <c r="G73" s="602">
        <v>0.5</v>
      </c>
      <c r="H73" s="602">
        <v>-0.25</v>
      </c>
      <c r="I73" s="602">
        <v>-0.2</v>
      </c>
    </row>
    <row r="74" spans="1:9" x14ac:dyDescent="0.2">
      <c r="A74" s="661"/>
      <c r="B74" s="662"/>
      <c r="C74" s="55" t="s">
        <v>114</v>
      </c>
      <c r="D74" s="552"/>
      <c r="E74" s="602">
        <v>-0.1</v>
      </c>
      <c r="F74" s="602">
        <v>0</v>
      </c>
      <c r="G74" s="602">
        <v>0.05</v>
      </c>
      <c r="H74" s="602">
        <v>-0.05</v>
      </c>
      <c r="I74" s="602">
        <v>0.1</v>
      </c>
    </row>
    <row r="75" spans="1:9" x14ac:dyDescent="0.2">
      <c r="A75" s="661"/>
      <c r="B75" s="662"/>
      <c r="C75" s="55" t="s">
        <v>115</v>
      </c>
      <c r="D75" s="552"/>
      <c r="E75" s="602">
        <v>-0.1</v>
      </c>
      <c r="F75" s="602">
        <v>0</v>
      </c>
      <c r="G75" s="602">
        <v>0.05</v>
      </c>
      <c r="H75" s="602">
        <v>-0.05</v>
      </c>
      <c r="I75" s="602">
        <v>0.1</v>
      </c>
    </row>
    <row r="76" spans="1:9" x14ac:dyDescent="0.2">
      <c r="A76" s="661"/>
      <c r="B76" s="662"/>
      <c r="C76" s="552" t="s">
        <v>116</v>
      </c>
      <c r="D76" s="600">
        <v>0.1</v>
      </c>
      <c r="E76" s="602">
        <v>-0.1</v>
      </c>
      <c r="F76" s="602">
        <v>0</v>
      </c>
      <c r="G76" s="602">
        <v>0.05</v>
      </c>
      <c r="H76" s="602">
        <v>-0.05</v>
      </c>
      <c r="I76" s="602">
        <v>0.1</v>
      </c>
    </row>
    <row r="77" spans="1:9" x14ac:dyDescent="0.2">
      <c r="A77" s="661"/>
      <c r="B77" s="662"/>
      <c r="C77" s="552" t="s">
        <v>120</v>
      </c>
      <c r="D77" s="552">
        <v>0.1</v>
      </c>
      <c r="E77" s="602">
        <v>-0.1</v>
      </c>
      <c r="F77" s="602">
        <v>0</v>
      </c>
      <c r="G77" s="614">
        <v>0.05</v>
      </c>
      <c r="H77" s="603">
        <v>0.05</v>
      </c>
      <c r="I77" s="603">
        <v>0.25</v>
      </c>
    </row>
    <row r="78" spans="1:9" x14ac:dyDescent="0.2">
      <c r="A78" s="661"/>
      <c r="B78" s="662" t="s">
        <v>1523</v>
      </c>
      <c r="C78" s="552" t="s">
        <v>117</v>
      </c>
      <c r="D78" s="552">
        <v>0.5</v>
      </c>
      <c r="E78" s="602">
        <v>-0.5</v>
      </c>
      <c r="F78" s="602">
        <v>0</v>
      </c>
      <c r="G78" s="602">
        <v>-0.3</v>
      </c>
      <c r="H78" s="602">
        <v>-0.45</v>
      </c>
      <c r="I78" s="602">
        <v>0.25</v>
      </c>
    </row>
    <row r="79" spans="1:9" x14ac:dyDescent="0.2">
      <c r="A79" s="661"/>
      <c r="B79" s="662"/>
      <c r="C79" s="552" t="s">
        <v>118</v>
      </c>
      <c r="D79" s="552"/>
      <c r="E79" s="602">
        <v>0.5</v>
      </c>
      <c r="F79" s="602">
        <v>0</v>
      </c>
      <c r="G79" s="602">
        <v>-0.2</v>
      </c>
      <c r="H79" s="602">
        <v>0.45</v>
      </c>
      <c r="I79" s="602">
        <v>-0.25</v>
      </c>
    </row>
    <row r="80" spans="1:9" x14ac:dyDescent="0.2">
      <c r="A80" s="661"/>
      <c r="B80" s="662"/>
      <c r="C80" s="552" t="s">
        <v>119</v>
      </c>
      <c r="D80" s="552"/>
      <c r="E80" s="602">
        <v>0.05</v>
      </c>
      <c r="F80" s="602">
        <v>0</v>
      </c>
      <c r="G80" s="602">
        <v>0.05</v>
      </c>
      <c r="H80" s="602">
        <v>0</v>
      </c>
      <c r="I80" s="602">
        <v>0.05</v>
      </c>
    </row>
    <row r="81" spans="1:9" x14ac:dyDescent="0.2">
      <c r="A81" s="661"/>
      <c r="B81" s="662"/>
      <c r="C81" s="539" t="s">
        <v>126</v>
      </c>
      <c r="D81" s="552">
        <v>0.25</v>
      </c>
      <c r="E81" s="602">
        <v>0.25</v>
      </c>
      <c r="F81" s="602">
        <v>0</v>
      </c>
      <c r="G81" s="602">
        <v>-0.1</v>
      </c>
      <c r="H81" s="602">
        <v>0.2</v>
      </c>
      <c r="I81" s="602">
        <v>-0.1</v>
      </c>
    </row>
    <row r="82" spans="1:9" x14ac:dyDescent="0.2">
      <c r="A82" s="661"/>
      <c r="B82" s="662"/>
      <c r="C82" s="9" t="s">
        <v>134</v>
      </c>
      <c r="D82" s="9"/>
      <c r="E82" s="615" t="s">
        <v>1526</v>
      </c>
      <c r="F82" s="9" t="s">
        <v>1528</v>
      </c>
      <c r="G82" s="9" t="s">
        <v>1528</v>
      </c>
      <c r="H82" s="9" t="s">
        <v>1529</v>
      </c>
      <c r="I82" s="9" t="s">
        <v>1528</v>
      </c>
    </row>
  </sheetData>
  <mergeCells count="20">
    <mergeCell ref="A3:A23"/>
    <mergeCell ref="B21:B23"/>
    <mergeCell ref="B18:B20"/>
    <mergeCell ref="B3:B6"/>
    <mergeCell ref="B7:B17"/>
    <mergeCell ref="A24:A40"/>
    <mergeCell ref="B73:B77"/>
    <mergeCell ref="B78:B82"/>
    <mergeCell ref="B55:B59"/>
    <mergeCell ref="A64:A70"/>
    <mergeCell ref="B64:B66"/>
    <mergeCell ref="B67:B70"/>
    <mergeCell ref="A71:A82"/>
    <mergeCell ref="B60:B63"/>
    <mergeCell ref="A55:A63"/>
    <mergeCell ref="B51:B54"/>
    <mergeCell ref="B37:B40"/>
    <mergeCell ref="A41:A54"/>
    <mergeCell ref="B41:B50"/>
    <mergeCell ref="B24:B36"/>
  </mergeCells>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zoomScale="80" zoomScaleNormal="80" workbookViewId="0">
      <pane xSplit="3" ySplit="1" topLeftCell="D77" activePane="bottomRight" state="frozen"/>
      <selection pane="topRight" activeCell="C1" sqref="C1"/>
      <selection pane="bottomLeft" activeCell="A2" sqref="A2"/>
      <selection pane="bottomRight" activeCell="I87" sqref="I87"/>
    </sheetView>
  </sheetViews>
  <sheetFormatPr defaultColWidth="9" defaultRowHeight="14.25" x14ac:dyDescent="0.2"/>
  <cols>
    <col min="1" max="1" width="17.7109375" style="58" customWidth="1"/>
    <col min="2" max="2" width="14.28515625" style="58" customWidth="1"/>
    <col min="3" max="3" width="77.5703125" style="55" bestFit="1" customWidth="1"/>
    <col min="4" max="4" width="16" style="55" hidden="1" customWidth="1"/>
    <col min="5" max="5" width="25.85546875" style="590" customWidth="1"/>
    <col min="6" max="6" width="25.5703125" style="590" customWidth="1"/>
    <col min="7" max="7" width="27.5703125" style="590" customWidth="1"/>
    <col min="8" max="8" width="25.85546875" style="590" customWidth="1"/>
    <col min="9" max="9" width="30.140625" style="590" customWidth="1"/>
    <col min="10" max="10" width="27.28515625" style="55" customWidth="1"/>
    <col min="11" max="11" width="31.140625" style="55" customWidth="1"/>
    <col min="12" max="16384" width="9" style="55"/>
  </cols>
  <sheetData>
    <row r="1" spans="1:10" s="593" customFormat="1" ht="123" customHeight="1" x14ac:dyDescent="0.2">
      <c r="A1" s="592"/>
      <c r="B1" s="592"/>
      <c r="C1" s="592" t="s">
        <v>190</v>
      </c>
      <c r="D1" s="592" t="s">
        <v>1532</v>
      </c>
      <c r="E1" s="58" t="s">
        <v>136</v>
      </c>
      <c r="F1" s="58" t="s">
        <v>137</v>
      </c>
      <c r="G1" s="58" t="s">
        <v>138</v>
      </c>
      <c r="H1" s="592" t="s">
        <v>139</v>
      </c>
      <c r="I1" s="58" t="s">
        <v>140</v>
      </c>
    </row>
    <row r="2" spans="1:10" x14ac:dyDescent="0.2">
      <c r="A2" s="592"/>
      <c r="B2" s="592"/>
      <c r="C2" s="589" t="s">
        <v>158</v>
      </c>
      <c r="E2" s="590" t="s">
        <v>153</v>
      </c>
      <c r="F2" s="590" t="s">
        <v>153</v>
      </c>
      <c r="G2" s="590" t="s">
        <v>153</v>
      </c>
      <c r="H2" s="590" t="s">
        <v>153</v>
      </c>
      <c r="I2" s="590" t="s">
        <v>153</v>
      </c>
    </row>
    <row r="3" spans="1:10" ht="14.25" customHeight="1" x14ac:dyDescent="0.2">
      <c r="A3" s="661" t="s">
        <v>142</v>
      </c>
      <c r="B3" s="662" t="s">
        <v>9</v>
      </c>
      <c r="C3" s="594" t="s">
        <v>1498</v>
      </c>
      <c r="D3" s="594"/>
      <c r="E3" s="595">
        <v>0.7646082852410363</v>
      </c>
      <c r="F3" s="595">
        <v>1</v>
      </c>
      <c r="G3" s="595">
        <v>1.4030858717560482</v>
      </c>
      <c r="H3" s="595">
        <v>1.029785920744843</v>
      </c>
      <c r="I3" s="595">
        <v>0.81822734357148763</v>
      </c>
    </row>
    <row r="4" spans="1:10" x14ac:dyDescent="0.2">
      <c r="A4" s="661"/>
      <c r="B4" s="662"/>
      <c r="C4" s="607" t="s">
        <v>7</v>
      </c>
      <c r="D4" s="552">
        <v>0.51500000000000001</v>
      </c>
      <c r="E4" s="598">
        <v>0.38624999999999998</v>
      </c>
      <c r="F4" s="598">
        <v>0.46887200000000001</v>
      </c>
      <c r="G4" s="598">
        <v>0.53737000000000001</v>
      </c>
      <c r="H4" s="598">
        <v>0.56987500000000002</v>
      </c>
      <c r="I4" s="598">
        <v>0.38624999999999998</v>
      </c>
      <c r="J4" s="598"/>
    </row>
    <row r="5" spans="1:10" x14ac:dyDescent="0.2">
      <c r="A5" s="661"/>
      <c r="B5" s="662"/>
      <c r="C5" s="552" t="s">
        <v>6</v>
      </c>
      <c r="D5" s="552">
        <v>12</v>
      </c>
      <c r="E5" s="598">
        <v>9.3894199999999994</v>
      </c>
      <c r="F5" s="598">
        <v>11.492900000000001</v>
      </c>
      <c r="G5" s="598">
        <v>15</v>
      </c>
      <c r="H5" s="598">
        <v>11.181800000000001</v>
      </c>
      <c r="I5" s="598">
        <v>10.757199999999999</v>
      </c>
      <c r="J5" s="598"/>
    </row>
    <row r="6" spans="1:10" x14ac:dyDescent="0.2">
      <c r="A6" s="661"/>
      <c r="B6" s="662"/>
      <c r="C6" s="552" t="s">
        <v>5</v>
      </c>
      <c r="D6" s="552">
        <v>28</v>
      </c>
      <c r="E6" s="598">
        <v>28.935600000000001</v>
      </c>
      <c r="F6" s="598">
        <v>27.105799999999999</v>
      </c>
      <c r="G6" s="598">
        <v>22.505299999999998</v>
      </c>
      <c r="H6" s="598">
        <v>25.923200000000001</v>
      </c>
      <c r="I6" s="598">
        <v>28.114000000000001</v>
      </c>
      <c r="J6" s="598"/>
    </row>
    <row r="7" spans="1:10" x14ac:dyDescent="0.2">
      <c r="A7" s="661"/>
      <c r="B7" s="661" t="s">
        <v>141</v>
      </c>
      <c r="C7" s="594" t="s">
        <v>1518</v>
      </c>
      <c r="D7" s="594"/>
      <c r="E7" s="595">
        <v>0.51749002734395078</v>
      </c>
      <c r="F7" s="595">
        <v>1</v>
      </c>
      <c r="G7" s="595">
        <v>4.5943082760197278</v>
      </c>
      <c r="H7" s="595">
        <v>3.1462289980559746</v>
      </c>
      <c r="I7" s="595">
        <v>0.51319261447510423</v>
      </c>
    </row>
    <row r="8" spans="1:10" s="582" customFormat="1" x14ac:dyDescent="0.2">
      <c r="A8" s="661"/>
      <c r="B8" s="661"/>
      <c r="C8" s="552" t="s">
        <v>33</v>
      </c>
      <c r="D8" s="553">
        <v>0</v>
      </c>
      <c r="E8" s="553">
        <v>-8.4299400000000003E-3</v>
      </c>
      <c r="F8" s="553">
        <v>-8.4708500000000003E-3</v>
      </c>
      <c r="G8" s="553">
        <v>3.4964000000000002E-3</v>
      </c>
      <c r="H8" s="553">
        <v>3.4978600000000002E-3</v>
      </c>
      <c r="I8" s="553">
        <v>-8.5000000000000006E-3</v>
      </c>
      <c r="J8" s="598"/>
    </row>
    <row r="9" spans="1:10" s="582" customFormat="1" x14ac:dyDescent="0.2">
      <c r="A9" s="661"/>
      <c r="B9" s="661"/>
      <c r="C9" s="552" t="s">
        <v>34</v>
      </c>
      <c r="D9" s="553">
        <v>0</v>
      </c>
      <c r="E9" s="553">
        <v>-8.4945999999999997E-3</v>
      </c>
      <c r="F9" s="553">
        <v>-8.4963999999999994E-3</v>
      </c>
      <c r="G9" s="553">
        <v>3.4964000000000002E-3</v>
      </c>
      <c r="H9" s="553">
        <v>3.5000000000000001E-3</v>
      </c>
      <c r="I9" s="553">
        <v>-8.5000000000000006E-3</v>
      </c>
      <c r="J9" s="598"/>
    </row>
    <row r="10" spans="1:10" s="582" customFormat="1" x14ac:dyDescent="0.2">
      <c r="A10" s="661"/>
      <c r="B10" s="661"/>
      <c r="C10" s="599" t="s">
        <v>1519</v>
      </c>
      <c r="D10" s="599"/>
      <c r="E10" s="595">
        <v>0.58805185729009313</v>
      </c>
      <c r="F10" s="595">
        <v>1</v>
      </c>
      <c r="G10" s="595">
        <v>1.0952830559718276</v>
      </c>
      <c r="H10" s="595">
        <v>0.58619981121534159</v>
      </c>
      <c r="I10" s="595">
        <v>0.6123263675290388</v>
      </c>
      <c r="J10" s="598"/>
    </row>
    <row r="11" spans="1:10" s="582" customFormat="1" x14ac:dyDescent="0.2">
      <c r="A11" s="661"/>
      <c r="B11" s="661"/>
      <c r="C11" s="552" t="s">
        <v>35</v>
      </c>
      <c r="D11" s="553">
        <v>0.01</v>
      </c>
      <c r="E11" s="553">
        <v>8.2838900000000004E-3</v>
      </c>
      <c r="F11" s="553">
        <v>1.79196E-3</v>
      </c>
      <c r="G11" s="553">
        <v>-3.8629599999999999E-3</v>
      </c>
      <c r="H11" s="553">
        <v>-2.8030199999999998E-3</v>
      </c>
      <c r="I11" s="553">
        <v>0.01</v>
      </c>
      <c r="J11" s="598"/>
    </row>
    <row r="12" spans="1:10" x14ac:dyDescent="0.2">
      <c r="A12" s="661"/>
      <c r="B12" s="661"/>
      <c r="C12" s="552" t="s">
        <v>36</v>
      </c>
      <c r="D12" s="553">
        <v>5.0000000000000001E-3</v>
      </c>
      <c r="E12" s="553">
        <v>3.8922399999999999E-3</v>
      </c>
      <c r="F12" s="553">
        <v>4.8892700000000002E-3</v>
      </c>
      <c r="G12" s="553">
        <v>-4.3786500000000004E-3</v>
      </c>
      <c r="H12" s="553">
        <v>-3.3459700000000002E-3</v>
      </c>
      <c r="I12" s="553">
        <v>4.98235E-3</v>
      </c>
      <c r="J12" s="598"/>
    </row>
    <row r="13" spans="1:10" s="582" customFormat="1" x14ac:dyDescent="0.2">
      <c r="A13" s="661"/>
      <c r="B13" s="661"/>
      <c r="C13" s="552" t="s">
        <v>1534</v>
      </c>
      <c r="D13" s="553">
        <v>0.6</v>
      </c>
      <c r="E13" s="553">
        <v>0.60223800000000005</v>
      </c>
      <c r="F13" s="553">
        <v>0.65551800000000005</v>
      </c>
      <c r="G13" s="553">
        <v>0.464532</v>
      </c>
      <c r="H13" s="553">
        <v>0.42388199999999998</v>
      </c>
      <c r="I13" s="553">
        <v>0.59101199999999998</v>
      </c>
      <c r="J13" s="598"/>
    </row>
    <row r="14" spans="1:10" x14ac:dyDescent="0.2">
      <c r="A14" s="661"/>
      <c r="B14" s="661"/>
      <c r="C14" s="599" t="s">
        <v>1520</v>
      </c>
      <c r="D14" s="599"/>
      <c r="E14" s="595">
        <v>1.1602782711436583</v>
      </c>
      <c r="F14" s="595">
        <v>1</v>
      </c>
      <c r="G14" s="595">
        <v>0.37486174033908626</v>
      </c>
      <c r="H14" s="595">
        <v>0.50661760286838453</v>
      </c>
      <c r="I14" s="595">
        <v>1.2396188572751115</v>
      </c>
      <c r="J14" s="598"/>
    </row>
    <row r="15" spans="1:10" x14ac:dyDescent="0.2">
      <c r="A15" s="661"/>
      <c r="B15" s="661"/>
      <c r="C15" s="552" t="s">
        <v>37</v>
      </c>
      <c r="D15" s="553">
        <v>0</v>
      </c>
      <c r="E15" s="553">
        <v>7.0000000000000001E-3</v>
      </c>
      <c r="F15" s="553">
        <v>7.0000000000000001E-3</v>
      </c>
      <c r="G15" s="553">
        <v>-8.82429E-4</v>
      </c>
      <c r="H15" s="553">
        <v>7.0000000000000001E-3</v>
      </c>
      <c r="I15" s="553">
        <v>7.0000000000000001E-3</v>
      </c>
      <c r="J15" s="598"/>
    </row>
    <row r="16" spans="1:10" x14ac:dyDescent="0.2">
      <c r="A16" s="661"/>
      <c r="B16" s="661"/>
      <c r="C16" s="552" t="s">
        <v>38</v>
      </c>
      <c r="D16" s="553">
        <v>0</v>
      </c>
      <c r="E16" s="553">
        <v>5.0000000000000001E-3</v>
      </c>
      <c r="F16" s="553">
        <v>2.4827400000000002E-3</v>
      </c>
      <c r="G16" s="553">
        <v>-1E-3</v>
      </c>
      <c r="H16" s="553">
        <v>3.8262399999999998E-3</v>
      </c>
      <c r="I16" s="553">
        <v>5.0000000000000001E-3</v>
      </c>
      <c r="J16" s="598"/>
    </row>
    <row r="17" spans="1:10" s="582" customFormat="1" x14ac:dyDescent="0.2">
      <c r="A17" s="661"/>
      <c r="B17" s="661"/>
      <c r="C17" s="552" t="s">
        <v>1533</v>
      </c>
      <c r="D17" s="553">
        <v>0.77</v>
      </c>
      <c r="E17" s="553">
        <v>0.79222000000000004</v>
      </c>
      <c r="F17" s="553">
        <v>0.50268699999999999</v>
      </c>
      <c r="G17" s="553">
        <v>0.38500000000000001</v>
      </c>
      <c r="H17" s="553">
        <v>0.38500000000000001</v>
      </c>
      <c r="I17" s="553">
        <v>0.81733199999999995</v>
      </c>
      <c r="J17" s="598"/>
    </row>
    <row r="18" spans="1:10" x14ac:dyDescent="0.2">
      <c r="A18" s="661"/>
      <c r="B18" s="662" t="s">
        <v>10</v>
      </c>
      <c r="C18" s="594" t="s">
        <v>1499</v>
      </c>
      <c r="D18" s="594"/>
      <c r="E18" s="595">
        <v>1.3063596491228069</v>
      </c>
      <c r="F18" s="595">
        <v>1</v>
      </c>
      <c r="G18" s="595">
        <v>0.46271929824561403</v>
      </c>
      <c r="H18" s="595">
        <v>0.55679824561403513</v>
      </c>
      <c r="I18" s="595">
        <v>2.1890350877192981</v>
      </c>
    </row>
    <row r="19" spans="1:10" s="582" customFormat="1" x14ac:dyDescent="0.2">
      <c r="A19" s="661"/>
      <c r="B19" s="662"/>
      <c r="C19" s="552" t="s">
        <v>39</v>
      </c>
      <c r="D19" s="552">
        <v>0.42499999999999999</v>
      </c>
      <c r="E19" s="598">
        <v>0.47792200000000001</v>
      </c>
      <c r="F19" s="598">
        <v>0.44716499999999998</v>
      </c>
      <c r="G19" s="598">
        <v>0.32067899999999999</v>
      </c>
      <c r="H19" s="598">
        <v>0.35711199999999999</v>
      </c>
      <c r="I19" s="598">
        <v>0.55308400000000002</v>
      </c>
    </row>
    <row r="20" spans="1:10" s="582" customFormat="1" x14ac:dyDescent="0.2">
      <c r="A20" s="661"/>
      <c r="B20" s="662"/>
      <c r="C20" s="552" t="s">
        <v>40</v>
      </c>
      <c r="D20" s="552">
        <v>0.75</v>
      </c>
      <c r="E20" s="598">
        <v>0.81459199999999998</v>
      </c>
      <c r="F20" s="598">
        <v>0.72691600000000001</v>
      </c>
      <c r="G20" s="598">
        <v>0.70688700000000004</v>
      </c>
      <c r="H20" s="598">
        <v>0.93744499999999997</v>
      </c>
      <c r="I20" s="598">
        <v>0.920655</v>
      </c>
    </row>
    <row r="21" spans="1:10" s="582" customFormat="1" x14ac:dyDescent="0.2">
      <c r="A21" s="661"/>
      <c r="B21" s="662" t="s">
        <v>170</v>
      </c>
      <c r="C21" s="594" t="s">
        <v>1500</v>
      </c>
      <c r="D21" s="594"/>
      <c r="E21" s="595">
        <v>0.96521594407922107</v>
      </c>
      <c r="F21" s="595">
        <v>1</v>
      </c>
      <c r="G21" s="595">
        <v>0.93367729050511772</v>
      </c>
      <c r="H21" s="595">
        <v>1.0158109345094448</v>
      </c>
      <c r="I21" s="595">
        <v>1.1427144878089373</v>
      </c>
    </row>
    <row r="22" spans="1:10" s="582" customFormat="1" x14ac:dyDescent="0.2">
      <c r="A22" s="661"/>
      <c r="B22" s="662"/>
      <c r="C22" s="589" t="s">
        <v>97</v>
      </c>
      <c r="D22" s="589">
        <v>1.25</v>
      </c>
      <c r="E22" s="598">
        <f>$D22+$D22*SSP_parameters_assumptions!E22</f>
        <v>1.125</v>
      </c>
      <c r="F22" s="598">
        <f>$D22+$D22*SSP_parameters_assumptions!F22</f>
        <v>1.25</v>
      </c>
      <c r="G22" s="598">
        <f>$D22+$D22*SSP_parameters_assumptions!G22</f>
        <v>0.9375</v>
      </c>
      <c r="H22" s="598">
        <f>$D22+$D22*SSP_parameters_assumptions!H22</f>
        <v>1.3125</v>
      </c>
      <c r="I22" s="598">
        <f>$D22+$D22*SSP_parameters_assumptions!I22</f>
        <v>1.875</v>
      </c>
    </row>
    <row r="23" spans="1:10" x14ac:dyDescent="0.2">
      <c r="A23" s="661"/>
      <c r="B23" s="662"/>
      <c r="C23" s="601" t="s">
        <v>98</v>
      </c>
      <c r="D23" s="589">
        <v>5</v>
      </c>
      <c r="E23" s="598">
        <f>$D23+$D23*SSP_parameters_assumptions!E23</f>
        <v>5.5</v>
      </c>
      <c r="F23" s="598">
        <f>$D23+$D23*SSP_parameters_assumptions!F23</f>
        <v>5</v>
      </c>
      <c r="G23" s="598">
        <f>$D23+$D23*SSP_parameters_assumptions!G23</f>
        <v>6.25</v>
      </c>
      <c r="H23" s="598">
        <f>$D23+$D23*SSP_parameters_assumptions!H23</f>
        <v>4.75</v>
      </c>
      <c r="I23" s="598">
        <f>$D23+$D23*SSP_parameters_assumptions!I23</f>
        <v>2.5</v>
      </c>
    </row>
    <row r="24" spans="1:10" ht="15" customHeight="1" x14ac:dyDescent="0.2">
      <c r="A24" s="661" t="s">
        <v>144</v>
      </c>
      <c r="B24" s="661" t="s">
        <v>393</v>
      </c>
      <c r="C24" s="599" t="s">
        <v>1501</v>
      </c>
      <c r="D24" s="599"/>
      <c r="E24" s="595">
        <v>0.51129549001889429</v>
      </c>
      <c r="F24" s="595">
        <v>1</v>
      </c>
      <c r="G24" s="595">
        <v>0.79990552862893283</v>
      </c>
      <c r="H24" s="595">
        <v>0.72495481803992445</v>
      </c>
      <c r="I24" s="595">
        <v>1.2235685533557874</v>
      </c>
    </row>
    <row r="25" spans="1:10" x14ac:dyDescent="0.2">
      <c r="A25" s="661"/>
      <c r="B25" s="661"/>
      <c r="C25" s="599" t="s">
        <v>1502</v>
      </c>
      <c r="D25" s="599"/>
      <c r="E25" s="595">
        <v>0.18160811761160039</v>
      </c>
      <c r="F25" s="595">
        <v>1</v>
      </c>
      <c r="G25" s="595">
        <v>0.68597836643113086</v>
      </c>
      <c r="H25" s="595">
        <v>0.67760624225578514</v>
      </c>
      <c r="I25" s="595">
        <v>0.65570476541308065</v>
      </c>
    </row>
    <row r="26" spans="1:10" x14ac:dyDescent="0.2">
      <c r="A26" s="661"/>
      <c r="B26" s="661"/>
      <c r="C26" s="599" t="s">
        <v>1503</v>
      </c>
      <c r="D26" s="599"/>
      <c r="E26" s="595">
        <v>0.62563718572703975</v>
      </c>
      <c r="F26" s="595">
        <v>1</v>
      </c>
      <c r="G26" s="595">
        <v>0.73760907755666272</v>
      </c>
      <c r="H26" s="595">
        <v>0.60559283472050218</v>
      </c>
      <c r="I26" s="595">
        <v>1.2858911960372088</v>
      </c>
    </row>
    <row r="27" spans="1:10" x14ac:dyDescent="0.2">
      <c r="A27" s="661"/>
      <c r="B27" s="661"/>
      <c r="C27" s="599" t="s">
        <v>1504</v>
      </c>
      <c r="D27" s="599"/>
      <c r="E27" s="595">
        <v>0.32186916928903619</v>
      </c>
      <c r="F27" s="595">
        <v>1</v>
      </c>
      <c r="G27" s="595">
        <v>1.5116544598847088</v>
      </c>
      <c r="H27" s="595">
        <v>0.6076192597955945</v>
      </c>
      <c r="I27" s="595">
        <v>2.4734746163914343</v>
      </c>
    </row>
    <row r="28" spans="1:10" x14ac:dyDescent="0.2">
      <c r="A28" s="661"/>
      <c r="B28" s="661"/>
      <c r="C28" s="599" t="s">
        <v>1505</v>
      </c>
      <c r="D28" s="599"/>
      <c r="E28" s="595">
        <v>1.4927169094363519</v>
      </c>
      <c r="F28" s="595">
        <v>1</v>
      </c>
      <c r="G28" s="595">
        <v>3.090563647878404E-2</v>
      </c>
      <c r="H28" s="595">
        <v>0.60037998733375553</v>
      </c>
      <c r="I28" s="595">
        <v>1.024572514249525</v>
      </c>
    </row>
    <row r="29" spans="1:10" x14ac:dyDescent="0.2">
      <c r="A29" s="661"/>
      <c r="B29" s="661"/>
      <c r="C29" s="599" t="s">
        <v>1506</v>
      </c>
      <c r="D29" s="599"/>
      <c r="E29" s="595">
        <v>0.37628682996095136</v>
      </c>
      <c r="F29" s="595">
        <v>1</v>
      </c>
      <c r="G29" s="595">
        <v>5.5496390959649748E-2</v>
      </c>
      <c r="H29" s="595">
        <v>0.30753756951840017</v>
      </c>
      <c r="I29" s="595">
        <v>0.73636256064371075</v>
      </c>
    </row>
    <row r="30" spans="1:10" x14ac:dyDescent="0.2">
      <c r="A30" s="661"/>
      <c r="B30" s="661"/>
      <c r="C30" s="599" t="s">
        <v>1507</v>
      </c>
      <c r="D30" s="599"/>
      <c r="E30" s="595">
        <v>2.0918367346938775</v>
      </c>
      <c r="F30" s="595">
        <v>1</v>
      </c>
      <c r="G30" s="595">
        <v>2.5615290892476397</v>
      </c>
      <c r="H30" s="595">
        <v>1.6873286628084072</v>
      </c>
      <c r="I30" s="595">
        <v>1.1407249466950962</v>
      </c>
    </row>
    <row r="31" spans="1:10" ht="14.25" customHeight="1" x14ac:dyDescent="0.2">
      <c r="A31" s="661"/>
      <c r="B31" s="661"/>
      <c r="C31" s="634" t="s">
        <v>44</v>
      </c>
      <c r="D31" s="552">
        <v>1.9999999999999999E-6</v>
      </c>
      <c r="E31" s="635">
        <f>$D31+$D31*SSP_parameters_assumptions!E31</f>
        <v>1.3999999999999999E-6</v>
      </c>
      <c r="F31" s="635">
        <f>$D31+$D31*SSP_parameters_assumptions!F31</f>
        <v>1.9999999999999999E-6</v>
      </c>
      <c r="G31" s="635">
        <f>$D31+$D31*SSP_parameters_assumptions!G31</f>
        <v>1.9E-6</v>
      </c>
      <c r="H31" s="635">
        <f>$D31+$D31*SSP_parameters_assumptions!H31</f>
        <v>1.84E-6</v>
      </c>
      <c r="I31" s="635">
        <f>$D31+$D31*SSP_parameters_assumptions!I31</f>
        <v>3.1999999999999999E-6</v>
      </c>
    </row>
    <row r="32" spans="1:10" s="639" customFormat="1" x14ac:dyDescent="0.2">
      <c r="A32" s="661"/>
      <c r="B32" s="661"/>
      <c r="C32" s="634" t="s">
        <v>45</v>
      </c>
      <c r="D32" s="638">
        <v>0.6</v>
      </c>
      <c r="E32" s="635">
        <f>$D32+$D32*SSP_parameters_assumptions!E32</f>
        <v>0.44999999999999996</v>
      </c>
      <c r="F32" s="635">
        <f>$D32+$D32*SSP_parameters_assumptions!F32</f>
        <v>0.6</v>
      </c>
      <c r="G32" s="636">
        <v>1</v>
      </c>
      <c r="H32" s="635">
        <f>$D32+$D32*SSP_parameters_assumptions!H32</f>
        <v>0.78</v>
      </c>
      <c r="I32" s="635">
        <f>$D32+$D32*SSP_parameters_assumptions!I32</f>
        <v>0.63</v>
      </c>
    </row>
    <row r="33" spans="1:9" x14ac:dyDescent="0.2">
      <c r="A33" s="661"/>
      <c r="B33" s="661"/>
      <c r="C33" s="634" t="s">
        <v>46</v>
      </c>
      <c r="D33" s="552">
        <v>0.54</v>
      </c>
      <c r="E33" s="635">
        <f>$D33+$D33*SSP_parameters_assumptions!E33</f>
        <v>0.94500000000000006</v>
      </c>
      <c r="F33" s="635">
        <f>$D33+$D33*SSP_parameters_assumptions!F33</f>
        <v>0.54</v>
      </c>
      <c r="G33" s="636">
        <v>0.63749999999999996</v>
      </c>
      <c r="H33" s="635">
        <f>$D33+$D33*SSP_parameters_assumptions!H33</f>
        <v>0.70200000000000007</v>
      </c>
      <c r="I33" s="635">
        <f>$D33+$D33*SSP_parameters_assumptions!I33</f>
        <v>0.64800000000000002</v>
      </c>
    </row>
    <row r="34" spans="1:9" x14ac:dyDescent="0.2">
      <c r="A34" s="661"/>
      <c r="B34" s="661"/>
      <c r="C34" s="634" t="s">
        <v>47</v>
      </c>
      <c r="D34" s="552">
        <v>0.89</v>
      </c>
      <c r="E34" s="635">
        <f>$D34+$D34*SSP_parameters_assumptions!E34</f>
        <v>0.80100000000000005</v>
      </c>
      <c r="F34" s="635">
        <f>$D34+$D34*SSP_parameters_assumptions!F34</f>
        <v>0.89</v>
      </c>
      <c r="G34" s="636">
        <v>1.25</v>
      </c>
      <c r="H34" s="635">
        <f>$D34+$D34*SSP_parameters_assumptions!H34</f>
        <v>0.84550000000000003</v>
      </c>
      <c r="I34" s="635">
        <f>$D34+$D34*SSP_parameters_assumptions!I34</f>
        <v>1.1125</v>
      </c>
    </row>
    <row r="35" spans="1:9" x14ac:dyDescent="0.2">
      <c r="A35" s="661"/>
      <c r="B35" s="661"/>
      <c r="C35" s="634" t="s">
        <v>48</v>
      </c>
      <c r="D35" s="552">
        <v>1</v>
      </c>
      <c r="E35" s="635">
        <f>$D35+$D35*SSP_parameters_assumptions!E35</f>
        <v>1.25</v>
      </c>
      <c r="F35" s="635">
        <f>$D35+$D35*SSP_parameters_assumptions!F35</f>
        <v>1</v>
      </c>
      <c r="G35" s="635">
        <f>$D35+$D35*SSP_parameters_assumptions!G35</f>
        <v>0.5</v>
      </c>
      <c r="H35" s="635">
        <f>$D35+$D35*SSP_parameters_assumptions!H35</f>
        <v>0.8</v>
      </c>
      <c r="I35" s="635">
        <f>$D35+$D35*SSP_parameters_assumptions!I35</f>
        <v>1</v>
      </c>
    </row>
    <row r="36" spans="1:9" x14ac:dyDescent="0.2">
      <c r="A36" s="661"/>
      <c r="B36" s="661"/>
      <c r="C36" s="634" t="s">
        <v>49</v>
      </c>
      <c r="D36" s="552">
        <v>0.8</v>
      </c>
      <c r="E36" s="635">
        <f>$D36+$D36*SSP_parameters_assumptions!E36</f>
        <v>0.8</v>
      </c>
      <c r="F36" s="635">
        <f>$D36+$D36*SSP_parameters_assumptions!F36</f>
        <v>0.8</v>
      </c>
      <c r="G36" s="635">
        <f>$D36+$D36*SSP_parameters_assumptions!G36</f>
        <v>1.2000000000000002</v>
      </c>
      <c r="H36" s="635">
        <f>$D36+$D36*SSP_parameters_assumptions!H36</f>
        <v>0.96000000000000008</v>
      </c>
      <c r="I36" s="635">
        <f>$D36+$D36*SSP_parameters_assumptions!I36</f>
        <v>0.84000000000000008</v>
      </c>
    </row>
    <row r="37" spans="1:9" ht="14.25" customHeight="1" x14ac:dyDescent="0.2">
      <c r="A37" s="661"/>
      <c r="B37" s="662" t="s">
        <v>394</v>
      </c>
      <c r="C37" s="634" t="s">
        <v>50</v>
      </c>
      <c r="D37" s="552">
        <v>2</v>
      </c>
      <c r="E37" s="635">
        <f>$D37+$D37*SSP_parameters_assumptions!E37</f>
        <v>1.8</v>
      </c>
      <c r="F37" s="635">
        <v>2</v>
      </c>
      <c r="G37" s="635">
        <f>$D37+$D37*SSP_parameters_assumptions!G37</f>
        <v>2.2000000000000002</v>
      </c>
      <c r="H37" s="635">
        <f>$D37+$D37*SSP_parameters_assumptions!H37</f>
        <v>2.5</v>
      </c>
      <c r="I37" s="635">
        <f>$D37+$D37*SSP_parameters_assumptions!I37</f>
        <v>2.6</v>
      </c>
    </row>
    <row r="38" spans="1:9" s="639" customFormat="1" x14ac:dyDescent="0.2">
      <c r="A38" s="661"/>
      <c r="B38" s="662"/>
      <c r="C38" s="637" t="s">
        <v>1492</v>
      </c>
      <c r="D38" s="638">
        <v>2.5</v>
      </c>
      <c r="E38" s="635">
        <f>$D38+$D38*SSP_parameters_assumptions!E38</f>
        <v>8.125</v>
      </c>
      <c r="F38" s="635">
        <f>$D38+$D38*SSP_parameters_assumptions!F38</f>
        <v>2.5</v>
      </c>
      <c r="G38" s="636">
        <v>1</v>
      </c>
      <c r="H38" s="635">
        <f>$D38+$D38*SSP_parameters_assumptions!H38</f>
        <v>3.75</v>
      </c>
      <c r="I38" s="635">
        <f>$D38+$D38*SSP_parameters_assumptions!I38</f>
        <v>3</v>
      </c>
    </row>
    <row r="39" spans="1:9" x14ac:dyDescent="0.2">
      <c r="A39" s="661"/>
      <c r="B39" s="662"/>
      <c r="C39" s="637" t="s">
        <v>1493</v>
      </c>
      <c r="D39" s="552">
        <v>1.5</v>
      </c>
      <c r="E39" s="635">
        <f>$D39+$D39*SSP_parameters_assumptions!E39</f>
        <v>2.25</v>
      </c>
      <c r="F39" s="635">
        <f>$D39+$D39*SSP_parameters_assumptions!F39</f>
        <v>1.5</v>
      </c>
      <c r="G39" s="636">
        <v>1</v>
      </c>
      <c r="H39" s="635">
        <f>$D39+$D39*SSP_parameters_assumptions!H39</f>
        <v>1.5</v>
      </c>
      <c r="I39" s="635">
        <f>$D39+$D39*SSP_parameters_assumptions!I39</f>
        <v>1.425</v>
      </c>
    </row>
    <row r="40" spans="1:9" s="640" customFormat="1" x14ac:dyDescent="0.2">
      <c r="A40" s="661"/>
      <c r="B40" s="662"/>
      <c r="C40" s="637" t="s">
        <v>1494</v>
      </c>
      <c r="D40" s="638">
        <v>1.5</v>
      </c>
      <c r="E40" s="635">
        <f>$D40+$D40*SSP_parameters_assumptions!E40</f>
        <v>5.25</v>
      </c>
      <c r="F40" s="635">
        <f>$D40+$D40*SSP_parameters_assumptions!F40</f>
        <v>1.5</v>
      </c>
      <c r="G40" s="635">
        <f>$D40+$D40*SSP_parameters_assumptions!G40</f>
        <v>6</v>
      </c>
      <c r="H40" s="635">
        <f>$D40+$D40*SSP_parameters_assumptions!H40</f>
        <v>3.75</v>
      </c>
      <c r="I40" s="635">
        <f>$D40+$D40*SSP_parameters_assumptions!I40</f>
        <v>1.875</v>
      </c>
    </row>
    <row r="41" spans="1:9" s="582" customFormat="1" ht="14.25" customHeight="1" x14ac:dyDescent="0.2">
      <c r="A41" s="661" t="s">
        <v>1552</v>
      </c>
      <c r="B41" s="661" t="s">
        <v>1551</v>
      </c>
      <c r="C41" s="637" t="s">
        <v>84</v>
      </c>
      <c r="D41" s="552">
        <v>10</v>
      </c>
      <c r="E41" s="635">
        <f>$D41+$D41*SSP_parameters_assumptions!E41</f>
        <v>10</v>
      </c>
      <c r="F41" s="635">
        <f>$D41+$D41*SSP_parameters_assumptions!F41</f>
        <v>10</v>
      </c>
      <c r="G41" s="635">
        <f>$D41+$D41*SSP_parameters_assumptions!G41</f>
        <v>10</v>
      </c>
      <c r="H41" s="635">
        <f>$D41+$D41*SSP_parameters_assumptions!H41</f>
        <v>10</v>
      </c>
      <c r="I41" s="635">
        <f>$D41+$D41*SSP_parameters_assumptions!I41</f>
        <v>10</v>
      </c>
    </row>
    <row r="42" spans="1:9" s="582" customFormat="1" ht="14.25" customHeight="1" x14ac:dyDescent="0.2">
      <c r="A42" s="661"/>
      <c r="B42" s="661"/>
      <c r="C42" s="637" t="s">
        <v>70</v>
      </c>
      <c r="D42" s="552">
        <v>1</v>
      </c>
      <c r="E42" s="635">
        <f>$D42+$D42*SSP_parameters_assumptions!E42</f>
        <v>0.5</v>
      </c>
      <c r="F42" s="635">
        <f>$D42+$D42*SSP_parameters_assumptions!F42</f>
        <v>1</v>
      </c>
      <c r="G42" s="635">
        <f>$D42+$D42*SSP_parameters_assumptions!G42</f>
        <v>0.8</v>
      </c>
      <c r="H42" s="635">
        <f>$D42+$D42*SSP_parameters_assumptions!H42</f>
        <v>0.8</v>
      </c>
      <c r="I42" s="635">
        <f>$D42+$D42*SSP_parameters_assumptions!I42</f>
        <v>1.2</v>
      </c>
    </row>
    <row r="43" spans="1:9" s="582" customFormat="1" x14ac:dyDescent="0.2">
      <c r="A43" s="661"/>
      <c r="B43" s="661"/>
      <c r="C43" s="582" t="s">
        <v>74</v>
      </c>
      <c r="D43" s="552">
        <v>1.25</v>
      </c>
      <c r="E43" s="635">
        <f>$D43+$D43*SSP_parameters_assumptions!E43</f>
        <v>0.9375</v>
      </c>
      <c r="F43" s="635">
        <f>$D43+$D43*SSP_parameters_assumptions!F43</f>
        <v>1.25</v>
      </c>
      <c r="G43" s="635">
        <f>$D43+$D43*SSP_parameters_assumptions!G43</f>
        <v>1.4375</v>
      </c>
      <c r="H43" s="635">
        <f>$D43+$D43*SSP_parameters_assumptions!H43</f>
        <v>1.0625</v>
      </c>
      <c r="I43" s="635">
        <f>$D43+$D43*SSP_parameters_assumptions!I43</f>
        <v>1.875</v>
      </c>
    </row>
    <row r="44" spans="1:9" s="582" customFormat="1" x14ac:dyDescent="0.2">
      <c r="A44" s="661"/>
      <c r="B44" s="661"/>
      <c r="C44" s="552" t="s">
        <v>78</v>
      </c>
      <c r="D44" s="552">
        <v>0.15</v>
      </c>
      <c r="E44" s="635">
        <f>$D44+$D44*SSP_parameters_assumptions!E43</f>
        <v>0.11249999999999999</v>
      </c>
      <c r="F44" s="635">
        <f>$D44+$D44*SSP_parameters_assumptions!F43</f>
        <v>0.15</v>
      </c>
      <c r="G44" s="635">
        <f>$D44+$D44*SSP_parameters_assumptions!G43</f>
        <v>0.17249999999999999</v>
      </c>
      <c r="H44" s="635">
        <f>$D44+$D44*SSP_parameters_assumptions!H43</f>
        <v>0.1275</v>
      </c>
      <c r="I44" s="635">
        <f>$D44+$D44*SSP_parameters_assumptions!I43</f>
        <v>0.22499999999999998</v>
      </c>
    </row>
    <row r="45" spans="1:9" s="582" customFormat="1" x14ac:dyDescent="0.2">
      <c r="A45" s="661"/>
      <c r="B45" s="661"/>
      <c r="C45" s="552" t="s">
        <v>73</v>
      </c>
      <c r="D45" s="552">
        <v>2.8E-11</v>
      </c>
      <c r="E45" s="635">
        <f>$D45+$D45*SSP_parameters_assumptions!E45</f>
        <v>1.4E-11</v>
      </c>
      <c r="F45" s="635">
        <f>$D45+$D45*SSP_parameters_assumptions!F45</f>
        <v>2.8E-11</v>
      </c>
      <c r="G45" s="635">
        <f>$D45+$D45*SSP_parameters_assumptions!G45</f>
        <v>2.2400000000000001E-11</v>
      </c>
      <c r="H45" s="635">
        <f>$D45+$D45*SSP_parameters_assumptions!H45</f>
        <v>2.2400000000000001E-11</v>
      </c>
      <c r="I45" s="635">
        <f>$D45+$D45*SSP_parameters_assumptions!I45</f>
        <v>3.3599999999999999E-11</v>
      </c>
    </row>
    <row r="46" spans="1:9" s="582" customFormat="1" x14ac:dyDescent="0.2">
      <c r="A46" s="661"/>
      <c r="B46" s="661"/>
      <c r="C46" s="552" t="s">
        <v>77</v>
      </c>
      <c r="D46" s="589">
        <v>3E-11</v>
      </c>
      <c r="E46" s="635">
        <f>$D46+$D46*SSP_parameters_assumptions!E46</f>
        <v>1.6500000000000001E-11</v>
      </c>
      <c r="F46" s="635">
        <f>$D46+$D46*SSP_parameters_assumptions!F46</f>
        <v>3E-11</v>
      </c>
      <c r="G46" s="635">
        <f>$D46+$D46*SSP_parameters_assumptions!G46</f>
        <v>1.9499999999999997E-11</v>
      </c>
      <c r="H46" s="635">
        <f>$D46+$D46*SSP_parameters_assumptions!H46</f>
        <v>1.5E-11</v>
      </c>
      <c r="I46" s="635">
        <f>$D46+$D46*SSP_parameters_assumptions!I46</f>
        <v>4.0500000000000002E-11</v>
      </c>
    </row>
    <row r="47" spans="1:9" s="582" customFormat="1" x14ac:dyDescent="0.2">
      <c r="A47" s="661"/>
      <c r="B47" s="661"/>
      <c r="C47" s="55" t="s">
        <v>81</v>
      </c>
      <c r="D47" s="589">
        <v>1.2999999999999999E-12</v>
      </c>
      <c r="E47" s="635">
        <f>$D47+$D47*SSP_parameters_assumptions!E47</f>
        <v>9.7499999999999999E-13</v>
      </c>
      <c r="F47" s="635">
        <f>$D47+$D47*SSP_parameters_assumptions!F47</f>
        <v>1.2999999999999999E-12</v>
      </c>
      <c r="G47" s="635">
        <f>$D47+$D47*SSP_parameters_assumptions!G47</f>
        <v>1.495E-12</v>
      </c>
      <c r="H47" s="635">
        <f>$D47+$D47*SSP_parameters_assumptions!H47</f>
        <v>1.1049999999999998E-12</v>
      </c>
      <c r="I47" s="635">
        <f>$D47+$D47*SSP_parameters_assumptions!I47</f>
        <v>1.95E-12</v>
      </c>
    </row>
    <row r="48" spans="1:9" s="582" customFormat="1" x14ac:dyDescent="0.2">
      <c r="A48" s="661"/>
      <c r="B48" s="661"/>
      <c r="C48" s="552" t="s">
        <v>56</v>
      </c>
      <c r="D48" s="589">
        <v>2</v>
      </c>
      <c r="E48" s="635">
        <f>$D48+$D48*SSP_parameters_assumptions!E48</f>
        <v>2.2999999999999998</v>
      </c>
      <c r="F48" s="635">
        <f>$D48+$D48*SSP_parameters_assumptions!F48</f>
        <v>2</v>
      </c>
      <c r="G48" s="635">
        <f>$D48+$D48*SSP_parameters_assumptions!G48</f>
        <v>1.5</v>
      </c>
      <c r="H48" s="635">
        <f>$D48+$D48*SSP_parameters_assumptions!H48</f>
        <v>1.8</v>
      </c>
      <c r="I48" s="635">
        <f>$D48+$D48*SSP_parameters_assumptions!I48</f>
        <v>2</v>
      </c>
    </row>
    <row r="49" spans="1:9" s="582" customFormat="1" x14ac:dyDescent="0.2">
      <c r="A49" s="661"/>
      <c r="B49" s="661"/>
      <c r="C49" s="55" t="s">
        <v>63</v>
      </c>
      <c r="D49" s="552">
        <v>0.2</v>
      </c>
      <c r="E49" s="635">
        <f>$D49+$D49*SSP_parameters_assumptions!E49</f>
        <v>0.23</v>
      </c>
      <c r="F49" s="635">
        <f>$D49+$D49*SSP_parameters_assumptions!F49</f>
        <v>0.2</v>
      </c>
      <c r="G49" s="635">
        <f>$D49+$D49*SSP_parameters_assumptions!G49</f>
        <v>0.14000000000000001</v>
      </c>
      <c r="H49" s="635">
        <f>$D49+$D49*SSP_parameters_assumptions!H49</f>
        <v>0.18</v>
      </c>
      <c r="I49" s="635">
        <f>$D49+$D49*SSP_parameters_assumptions!I49</f>
        <v>0.2</v>
      </c>
    </row>
    <row r="50" spans="1:9" s="582" customFormat="1" x14ac:dyDescent="0.2">
      <c r="A50" s="661"/>
      <c r="B50" s="661"/>
      <c r="C50" s="539" t="s">
        <v>69</v>
      </c>
      <c r="D50" s="552">
        <v>50</v>
      </c>
      <c r="E50" s="635">
        <f>$D50+$D50*SSP_parameters_assumptions!E50</f>
        <v>42.5</v>
      </c>
      <c r="F50" s="635">
        <f>$D50+$D50*SSP_parameters_assumptions!F50</f>
        <v>50</v>
      </c>
      <c r="G50" s="635">
        <f>$D50+$D50*SSP_parameters_assumptions!G50</f>
        <v>65</v>
      </c>
      <c r="H50" s="635">
        <f>$D50+$D50*SSP_parameters_assumptions!H50</f>
        <v>55</v>
      </c>
      <c r="I50" s="635">
        <f>$D50+$D50*SSP_parameters_assumptions!I50</f>
        <v>50</v>
      </c>
    </row>
    <row r="51" spans="1:9" s="639" customFormat="1" ht="14.25" customHeight="1" x14ac:dyDescent="0.2">
      <c r="A51" s="661"/>
      <c r="B51" s="662" t="s">
        <v>1553</v>
      </c>
      <c r="C51" s="634" t="s">
        <v>71</v>
      </c>
      <c r="D51" s="641">
        <v>0.04</v>
      </c>
      <c r="E51" s="635">
        <f>$D51+$D51*SSP_parameters_assumptions!E51</f>
        <v>0.02</v>
      </c>
      <c r="F51" s="635">
        <f>$D51+$D51*SSP_parameters_assumptions!F51</f>
        <v>0.04</v>
      </c>
      <c r="G51" s="635">
        <f>$D51+$D51*SSP_parameters_assumptions!G51</f>
        <v>3.2000000000000001E-2</v>
      </c>
      <c r="H51" s="635">
        <f>$D51+$D51*SSP_parameters_assumptions!H51</f>
        <v>3.2000000000000001E-2</v>
      </c>
      <c r="I51" s="635">
        <f>$D51+$D51*SSP_parameters_assumptions!I51</f>
        <v>4.8000000000000001E-2</v>
      </c>
    </row>
    <row r="52" spans="1:9" x14ac:dyDescent="0.2">
      <c r="A52" s="661"/>
      <c r="B52" s="662"/>
      <c r="C52" s="589" t="s">
        <v>75</v>
      </c>
      <c r="D52" s="589">
        <v>0.04</v>
      </c>
      <c r="E52" s="635">
        <f>$D52+$D52*SSP_parameters_assumptions!E52</f>
        <v>0.03</v>
      </c>
      <c r="F52" s="635">
        <f>$D52+$D52*SSP_parameters_assumptions!F52</f>
        <v>0.04</v>
      </c>
      <c r="G52" s="635">
        <f>$D52+$D52*SSP_parameters_assumptions!G52</f>
        <v>3.4000000000000002E-2</v>
      </c>
      <c r="H52" s="635">
        <f>$D52+$D52*SSP_parameters_assumptions!H52</f>
        <v>0.03</v>
      </c>
      <c r="I52" s="635">
        <f>$D52+$D52*SSP_parameters_assumptions!I52</f>
        <v>4.8000000000000001E-2</v>
      </c>
    </row>
    <row r="53" spans="1:9" x14ac:dyDescent="0.2">
      <c r="A53" s="661"/>
      <c r="B53" s="662"/>
      <c r="C53" s="589" t="s">
        <v>79</v>
      </c>
      <c r="D53" s="589">
        <v>0.35</v>
      </c>
      <c r="E53" s="635">
        <f>$D53+$D53*SSP_parameters_assumptions!E53</f>
        <v>0.26249999999999996</v>
      </c>
      <c r="F53" s="635">
        <f>$D53+$D53*SSP_parameters_assumptions!F53</f>
        <v>0.35</v>
      </c>
      <c r="G53" s="635">
        <f>$D53+$D53*SSP_parameters_assumptions!G53</f>
        <v>0.40249999999999997</v>
      </c>
      <c r="H53" s="635">
        <f>$D53+$D53*SSP_parameters_assumptions!H53</f>
        <v>0.29749999999999999</v>
      </c>
      <c r="I53" s="635">
        <f>$D53+$D53*SSP_parameters_assumptions!I53</f>
        <v>0.52499999999999991</v>
      </c>
    </row>
    <row r="54" spans="1:9" x14ac:dyDescent="0.2">
      <c r="A54" s="661"/>
      <c r="B54" s="662"/>
      <c r="C54" s="607" t="s">
        <v>82</v>
      </c>
      <c r="D54" s="552">
        <v>5</v>
      </c>
      <c r="E54" s="635">
        <f>$D54+$D54*SSP_parameters_assumptions!E54</f>
        <v>6.25</v>
      </c>
      <c r="F54" s="635">
        <f>$D54+$D54*SSP_parameters_assumptions!F54</f>
        <v>5</v>
      </c>
      <c r="G54" s="635">
        <f>$D54+$D54*SSP_parameters_assumptions!G54</f>
        <v>4.25</v>
      </c>
      <c r="H54" s="635">
        <f>$D54+$D54*SSP_parameters_assumptions!H54</f>
        <v>5.75</v>
      </c>
      <c r="I54" s="635">
        <f>$D54+$D54*SSP_parameters_assumptions!I54</f>
        <v>2.5</v>
      </c>
    </row>
    <row r="55" spans="1:9" ht="14.25" customHeight="1" x14ac:dyDescent="0.2">
      <c r="A55" s="661" t="s">
        <v>1512</v>
      </c>
      <c r="B55" s="662" t="s">
        <v>1554</v>
      </c>
      <c r="C55" s="55" t="s">
        <v>171</v>
      </c>
      <c r="D55" s="552">
        <v>900000</v>
      </c>
      <c r="E55" s="635">
        <f>$D55+$D55*SSP_parameters_assumptions!E55</f>
        <v>675000</v>
      </c>
      <c r="F55" s="635">
        <f>$D55+$D55*SSP_parameters_assumptions!F55</f>
        <v>900000</v>
      </c>
      <c r="G55" s="635">
        <f>$D55+$D55*SSP_parameters_assumptions!G55</f>
        <v>1035000</v>
      </c>
      <c r="H55" s="635">
        <f>$D55+$D55*SSP_parameters_assumptions!H55</f>
        <v>765000</v>
      </c>
      <c r="I55" s="635">
        <f>$D55+$D55*SSP_parameters_assumptions!I55</f>
        <v>1350000</v>
      </c>
    </row>
    <row r="56" spans="1:9" s="639" customFormat="1" x14ac:dyDescent="0.2">
      <c r="A56" s="661"/>
      <c r="B56" s="662"/>
      <c r="C56" s="637" t="s">
        <v>1495</v>
      </c>
      <c r="D56" s="638">
        <v>21000000000</v>
      </c>
      <c r="E56" s="635">
        <f>$D56+$D56*SSP_parameters_assumptions!E56</f>
        <v>10500000000</v>
      </c>
      <c r="F56" s="635">
        <f>$D56+$D56*SSP_parameters_assumptions!F56</f>
        <v>21000000000</v>
      </c>
      <c r="G56" s="635">
        <f>$D56+$D56*SSP_parameters_assumptions!G56</f>
        <v>16800000000</v>
      </c>
      <c r="H56" s="635">
        <f>$D56+$D56*SSP_parameters_assumptions!H56</f>
        <v>16800000000</v>
      </c>
      <c r="I56" s="635">
        <f>$D56+$D56*SSP_parameters_assumptions!I56</f>
        <v>36750000000</v>
      </c>
    </row>
    <row r="57" spans="1:9" x14ac:dyDescent="0.2">
      <c r="A57" s="661"/>
      <c r="B57" s="662"/>
      <c r="C57" s="55" t="s">
        <v>1496</v>
      </c>
      <c r="D57" s="552">
        <v>5000</v>
      </c>
      <c r="E57" s="635">
        <f>$D57+$D57*SSP_parameters_assumptions!E57</f>
        <v>2750</v>
      </c>
      <c r="F57" s="635">
        <f>$D57+$D57*SSP_parameters_assumptions!F57</f>
        <v>5000</v>
      </c>
      <c r="G57" s="635">
        <f>$D57+$D57*SSP_parameters_assumptions!G57</f>
        <v>3250</v>
      </c>
      <c r="H57" s="635">
        <f>$D57+$D57*SSP_parameters_assumptions!H57</f>
        <v>2500</v>
      </c>
      <c r="I57" s="635">
        <f>$D57+$D57*SSP_parameters_assumptions!I57</f>
        <v>6750</v>
      </c>
    </row>
    <row r="58" spans="1:9" x14ac:dyDescent="0.2">
      <c r="A58" s="661"/>
      <c r="B58" s="662"/>
      <c r="C58" s="601" t="s">
        <v>55</v>
      </c>
      <c r="D58" s="589">
        <v>10</v>
      </c>
      <c r="E58" s="635">
        <f>$D58+$D58*SSP_parameters_assumptions!E58</f>
        <v>6</v>
      </c>
      <c r="F58" s="635">
        <f>$D58+$D58*SSP_parameters_assumptions!F58</f>
        <v>10</v>
      </c>
      <c r="G58" s="635">
        <f>$D58+$D58*SSP_parameters_assumptions!G58</f>
        <v>17.5</v>
      </c>
      <c r="H58" s="635">
        <f>$D58+$D58*SSP_parameters_assumptions!H58</f>
        <v>13</v>
      </c>
      <c r="I58" s="635">
        <f>$D58+$D58*SSP_parameters_assumptions!I58</f>
        <v>10</v>
      </c>
    </row>
    <row r="59" spans="1:9" x14ac:dyDescent="0.2">
      <c r="A59" s="661"/>
      <c r="B59" s="662"/>
      <c r="C59" s="601" t="s">
        <v>61</v>
      </c>
      <c r="D59" s="589">
        <v>30000000</v>
      </c>
      <c r="E59" s="598">
        <f>$D59+$D59*SSP_parameters_assumptions!E59</f>
        <v>10500000</v>
      </c>
      <c r="F59" s="598">
        <f>$D59+$D59*SSP_parameters_assumptions!F59</f>
        <v>30000000</v>
      </c>
      <c r="G59" s="598">
        <f>$D59+$D59*SSP_parameters_assumptions!G59</f>
        <v>3000000</v>
      </c>
      <c r="H59" s="598">
        <f>$D59+$D59*SSP_parameters_assumptions!H59</f>
        <v>18000000</v>
      </c>
      <c r="I59" s="598">
        <f>$D59+$D59*SSP_parameters_assumptions!I59</f>
        <v>27000000</v>
      </c>
    </row>
    <row r="60" spans="1:9" ht="14.25" customHeight="1" x14ac:dyDescent="0.2">
      <c r="A60" s="661"/>
      <c r="B60" s="662" t="s">
        <v>285</v>
      </c>
      <c r="C60" s="599" t="s">
        <v>1514</v>
      </c>
      <c r="D60" s="599"/>
      <c r="E60" s="608">
        <v>0.75081912900486103</v>
      </c>
      <c r="F60" s="608">
        <v>1</v>
      </c>
      <c r="G60" s="608">
        <v>1.0523019330463788</v>
      </c>
      <c r="H60" s="608">
        <v>0.90947115515778898</v>
      </c>
      <c r="I60" s="608">
        <v>1.3065035856229865</v>
      </c>
    </row>
    <row r="61" spans="1:9" x14ac:dyDescent="0.2">
      <c r="A61" s="661"/>
      <c r="B61" s="662"/>
      <c r="C61" s="599" t="s">
        <v>1513</v>
      </c>
      <c r="D61" s="599"/>
      <c r="E61" s="608">
        <v>0.28725144192278157</v>
      </c>
      <c r="F61" s="608">
        <v>1</v>
      </c>
      <c r="G61" s="608">
        <v>0.99452372782846787</v>
      </c>
      <c r="H61" s="608">
        <v>0.52267185782209558</v>
      </c>
      <c r="I61" s="608">
        <v>1.4716561513091095</v>
      </c>
    </row>
    <row r="62" spans="1:9" ht="14.25" customHeight="1" x14ac:dyDescent="0.2">
      <c r="A62" s="661"/>
      <c r="B62" s="662"/>
      <c r="C62" s="589" t="s">
        <v>127</v>
      </c>
      <c r="D62" s="646">
        <v>2500000000</v>
      </c>
      <c r="E62" s="598">
        <f>$D62+$D62*SSP_parameters_assumptions!E62</f>
        <v>0</v>
      </c>
      <c r="F62" s="598">
        <f>$D62+$D62*SSP_parameters_assumptions!F62</f>
        <v>2500000000</v>
      </c>
      <c r="G62" s="598">
        <f>$D62+$D62*SSP_parameters_assumptions!G62</f>
        <v>10000000000</v>
      </c>
      <c r="H62" s="598">
        <f>$D62+$D62*SSP_parameters_assumptions!H62</f>
        <v>7500000000</v>
      </c>
      <c r="I62" s="598">
        <f>$D62+$D62*SSP_parameters_assumptions!I62</f>
        <v>10000000000</v>
      </c>
    </row>
    <row r="63" spans="1:9" x14ac:dyDescent="0.2">
      <c r="A63" s="661"/>
      <c r="B63" s="662"/>
      <c r="C63" s="9" t="s">
        <v>1061</v>
      </c>
      <c r="D63" s="9">
        <v>0</v>
      </c>
      <c r="E63" s="609">
        <v>1</v>
      </c>
      <c r="F63" s="609">
        <v>1</v>
      </c>
      <c r="G63" s="609">
        <v>0</v>
      </c>
      <c r="H63" s="609">
        <v>1</v>
      </c>
      <c r="I63" s="609">
        <v>0</v>
      </c>
    </row>
    <row r="64" spans="1:9" s="582" customFormat="1" ht="14.25" customHeight="1" x14ac:dyDescent="0.2">
      <c r="A64" s="661" t="s">
        <v>135</v>
      </c>
      <c r="B64" s="662" t="s">
        <v>1539</v>
      </c>
      <c r="C64" s="594" t="s">
        <v>1515</v>
      </c>
      <c r="D64" s="594"/>
      <c r="E64" s="595">
        <v>1.032815256527974</v>
      </c>
      <c r="F64" s="595">
        <v>1</v>
      </c>
      <c r="G64" s="595">
        <v>0.85766385705000581</v>
      </c>
      <c r="H64" s="595">
        <v>1.0024038213537745</v>
      </c>
      <c r="I64" s="595">
        <v>1.0237390254722529</v>
      </c>
    </row>
    <row r="65" spans="1:9" s="582" customFormat="1" ht="14.25" customHeight="1" x14ac:dyDescent="0.2">
      <c r="A65" s="661"/>
      <c r="B65" s="662"/>
      <c r="C65" s="601" t="s">
        <v>88</v>
      </c>
      <c r="D65" s="589">
        <v>0.95</v>
      </c>
      <c r="E65" s="598">
        <f>$D65+$D65*SSP_parameters_assumptions!E65</f>
        <v>0.90249999999999997</v>
      </c>
      <c r="F65" s="598">
        <f>$D65+$D65*SSP_parameters_assumptions!F65</f>
        <v>0.95</v>
      </c>
      <c r="G65" s="616">
        <v>1</v>
      </c>
      <c r="H65" s="598">
        <f>$D65+$D65*SSP_parameters_assumptions!H65</f>
        <v>0.95</v>
      </c>
      <c r="I65" s="598">
        <f>$D65+$D65*SSP_parameters_assumptions!I65</f>
        <v>0.93099999999999994</v>
      </c>
    </row>
    <row r="66" spans="1:9" s="582" customFormat="1" x14ac:dyDescent="0.2">
      <c r="A66" s="661"/>
      <c r="B66" s="662"/>
      <c r="C66" s="41" t="s">
        <v>89</v>
      </c>
      <c r="D66" s="589">
        <v>5</v>
      </c>
      <c r="E66" s="598">
        <f>$D66+$D66*SSP_parameters_assumptions!E66</f>
        <v>5.5</v>
      </c>
      <c r="F66" s="598">
        <f>$D66+$D66*SSP_parameters_assumptions!F66</f>
        <v>5</v>
      </c>
      <c r="G66" s="598">
        <f>$D66+$D66*SSP_parameters_assumptions!G66</f>
        <v>2.5</v>
      </c>
      <c r="H66" s="598">
        <f>$D66+$D66*SSP_parameters_assumptions!H66</f>
        <v>5</v>
      </c>
      <c r="I66" s="598">
        <f>$D66+$D66*SSP_parameters_assumptions!I66</f>
        <v>5.25</v>
      </c>
    </row>
    <row r="67" spans="1:9" ht="14.25" customHeight="1" x14ac:dyDescent="0.2">
      <c r="A67" s="661"/>
      <c r="B67" s="662" t="s">
        <v>388</v>
      </c>
      <c r="C67" s="594" t="s">
        <v>1516</v>
      </c>
      <c r="D67" s="594"/>
      <c r="E67" s="595">
        <v>0.68793367177281695</v>
      </c>
      <c r="F67" s="595">
        <v>1</v>
      </c>
      <c r="G67" s="595">
        <v>1.1144560952359841</v>
      </c>
      <c r="H67" s="595">
        <v>0.71932430335409792</v>
      </c>
      <c r="I67" s="595">
        <v>1.1444944467844556</v>
      </c>
    </row>
    <row r="68" spans="1:9" x14ac:dyDescent="0.2">
      <c r="A68" s="661"/>
      <c r="B68" s="662"/>
      <c r="C68" s="594" t="s">
        <v>1517</v>
      </c>
      <c r="D68" s="594"/>
      <c r="E68" s="595">
        <v>1.0072636282394996</v>
      </c>
      <c r="F68" s="595">
        <v>1</v>
      </c>
      <c r="G68" s="595">
        <v>1.3653386952636282</v>
      </c>
      <c r="H68" s="595">
        <v>0.94979982126899021</v>
      </c>
      <c r="I68" s="595">
        <v>1.1077462019660411</v>
      </c>
    </row>
    <row r="69" spans="1:9" ht="14.25" customHeight="1" x14ac:dyDescent="0.2">
      <c r="A69" s="661"/>
      <c r="B69" s="662"/>
      <c r="C69" s="552" t="s">
        <v>109</v>
      </c>
      <c r="D69" s="552">
        <v>7.0000000000000007E-2</v>
      </c>
      <c r="E69" s="598">
        <f>$D69+$D69*SSP_parameters_assumptions!E69</f>
        <v>8.7500000000000008E-2</v>
      </c>
      <c r="F69" s="598">
        <f>$D69+$D69*SSP_parameters_assumptions!F69</f>
        <v>7.0000000000000007E-2</v>
      </c>
      <c r="G69" s="598">
        <f>$D69+$D69*SSP_parameters_assumptions!G69</f>
        <v>5.2500000000000005E-2</v>
      </c>
      <c r="H69" s="598">
        <f>$D69+$D69*SSP_parameters_assumptions!H69</f>
        <v>6.3E-2</v>
      </c>
      <c r="I69" s="598">
        <f>$D69+$D69*SSP_parameters_assumptions!I69</f>
        <v>8.0500000000000002E-2</v>
      </c>
    </row>
    <row r="70" spans="1:9" x14ac:dyDescent="0.2">
      <c r="A70" s="661"/>
      <c r="B70" s="662"/>
      <c r="C70" s="589" t="s">
        <v>107</v>
      </c>
      <c r="D70" s="589">
        <v>0.3</v>
      </c>
      <c r="E70" s="598">
        <f>$D70+$D70*SSP_parameters_assumptions!E70</f>
        <v>0.34499999999999997</v>
      </c>
      <c r="F70" s="598">
        <f>$D70+$D70*SSP_parameters_assumptions!F70</f>
        <v>0.3</v>
      </c>
      <c r="G70" s="598">
        <f>$D70+$D70*SSP_parameters_assumptions!G70</f>
        <v>0.22499999999999998</v>
      </c>
      <c r="H70" s="598">
        <f>$D70+$D70*SSP_parameters_assumptions!H70</f>
        <v>0.27</v>
      </c>
      <c r="I70" s="598">
        <f>$D70+$D70*SSP_parameters_assumptions!I70</f>
        <v>0.34499999999999997</v>
      </c>
    </row>
    <row r="71" spans="1:9" x14ac:dyDescent="0.2">
      <c r="A71" s="661" t="s">
        <v>1555</v>
      </c>
      <c r="B71" s="612"/>
      <c r="C71" s="599" t="s">
        <v>1521</v>
      </c>
      <c r="D71" s="613"/>
      <c r="E71" s="595">
        <v>0.82404143475572045</v>
      </c>
      <c r="F71" s="608">
        <v>1</v>
      </c>
      <c r="G71" s="608">
        <v>1.1763141620284476</v>
      </c>
      <c r="H71" s="608">
        <v>0.90771490414347544</v>
      </c>
      <c r="I71" s="608">
        <v>0.92368583797155213</v>
      </c>
    </row>
    <row r="72" spans="1:9" x14ac:dyDescent="0.2">
      <c r="A72" s="661"/>
      <c r="B72" s="612"/>
      <c r="C72" s="599" t="s">
        <v>1522</v>
      </c>
      <c r="D72" s="599"/>
      <c r="E72" s="608">
        <v>0.68577938052877929</v>
      </c>
      <c r="F72" s="608">
        <v>1</v>
      </c>
      <c r="G72" s="608">
        <v>1.020163256535358</v>
      </c>
      <c r="H72" s="608">
        <v>1.0169372456864847</v>
      </c>
      <c r="I72" s="608">
        <v>0.78344679010543083</v>
      </c>
    </row>
    <row r="73" spans="1:9" ht="14.25" customHeight="1" x14ac:dyDescent="0.2">
      <c r="A73" s="661"/>
      <c r="B73" s="662" t="s">
        <v>387</v>
      </c>
      <c r="C73" s="582" t="s">
        <v>110</v>
      </c>
      <c r="D73" s="552">
        <v>1</v>
      </c>
      <c r="E73" s="598">
        <f>$D73+$D73*SSP_parameters_assumptions!E73</f>
        <v>0.5</v>
      </c>
      <c r="F73" s="598">
        <f>$D73+$D73*SSP_parameters_assumptions!F73</f>
        <v>1</v>
      </c>
      <c r="G73" s="598">
        <f>$D73+$D73*SSP_parameters_assumptions!G73</f>
        <v>1.5</v>
      </c>
      <c r="H73" s="598">
        <f>$D73+$D73*SSP_parameters_assumptions!H73</f>
        <v>0.75</v>
      </c>
      <c r="I73" s="598">
        <f>$D73+$D73*SSP_parameters_assumptions!I73</f>
        <v>0.8</v>
      </c>
    </row>
    <row r="74" spans="1:9" x14ac:dyDescent="0.2">
      <c r="A74" s="661"/>
      <c r="B74" s="662"/>
      <c r="C74" s="582" t="s">
        <v>114</v>
      </c>
      <c r="D74" s="552">
        <v>1</v>
      </c>
      <c r="E74" s="598">
        <f>$D74+$D74*SSP_parameters_assumptions!E74</f>
        <v>0.9</v>
      </c>
      <c r="F74" s="598">
        <f>$D74+$D74*SSP_parameters_assumptions!F74</f>
        <v>1</v>
      </c>
      <c r="G74" s="598">
        <f>$D74+$D74*SSP_parameters_assumptions!G74</f>
        <v>1.05</v>
      </c>
      <c r="H74" s="598">
        <f>$D74+$D74*SSP_parameters_assumptions!H74</f>
        <v>0.95</v>
      </c>
      <c r="I74" s="598">
        <f>$D74+$D74*SSP_parameters_assumptions!I74</f>
        <v>1.1000000000000001</v>
      </c>
    </row>
    <row r="75" spans="1:9" x14ac:dyDescent="0.2">
      <c r="A75" s="661"/>
      <c r="B75" s="662"/>
      <c r="C75" s="582" t="s">
        <v>115</v>
      </c>
      <c r="D75" s="552">
        <v>1</v>
      </c>
      <c r="E75" s="598">
        <f>$D75+$D75*SSP_parameters_assumptions!E75</f>
        <v>0.9</v>
      </c>
      <c r="F75" s="598">
        <f>$D75+$D75*SSP_parameters_assumptions!F75</f>
        <v>1</v>
      </c>
      <c r="G75" s="598">
        <f>$D75+$D75*SSP_parameters_assumptions!G75</f>
        <v>1.05</v>
      </c>
      <c r="H75" s="598">
        <f>$D75+$D75*SSP_parameters_assumptions!H75</f>
        <v>0.95</v>
      </c>
      <c r="I75" s="598">
        <f>$D75+$D75*SSP_parameters_assumptions!I75</f>
        <v>1.1000000000000001</v>
      </c>
    </row>
    <row r="76" spans="1:9" x14ac:dyDescent="0.2">
      <c r="A76" s="661"/>
      <c r="B76" s="662"/>
      <c r="C76" s="552" t="s">
        <v>116</v>
      </c>
      <c r="D76" s="600">
        <v>1</v>
      </c>
      <c r="E76" s="598">
        <f>$D76+$D76*SSP_parameters_assumptions!E76</f>
        <v>0.9</v>
      </c>
      <c r="F76" s="598">
        <f>$D76+$D76*SSP_parameters_assumptions!F76</f>
        <v>1</v>
      </c>
      <c r="G76" s="598">
        <f>$D76+$D76*SSP_parameters_assumptions!G76</f>
        <v>1.05</v>
      </c>
      <c r="H76" s="598">
        <f>$D76+$D76*SSP_parameters_assumptions!H76</f>
        <v>0.95</v>
      </c>
      <c r="I76" s="598">
        <f>$D76+$D76*SSP_parameters_assumptions!I76</f>
        <v>1.1000000000000001</v>
      </c>
    </row>
    <row r="77" spans="1:9" x14ac:dyDescent="0.2">
      <c r="A77" s="661"/>
      <c r="B77" s="662"/>
      <c r="C77" s="552" t="s">
        <v>120</v>
      </c>
      <c r="D77" s="552">
        <v>1672.6</v>
      </c>
      <c r="E77" s="598">
        <f>$D77+$D77*SSP_parameters_assumptions!E77</f>
        <v>1505.34</v>
      </c>
      <c r="F77" s="598">
        <f>$D77+$D77*SSP_parameters_assumptions!F77</f>
        <v>1672.6</v>
      </c>
      <c r="G77" s="598">
        <f>$D77+$D77*SSP_parameters_assumptions!G77</f>
        <v>1756.23</v>
      </c>
      <c r="H77" s="598">
        <f>$D77+$D77*SSP_parameters_assumptions!H77</f>
        <v>1756.23</v>
      </c>
      <c r="I77" s="598">
        <f>$D77+$D77*SSP_parameters_assumptions!I77</f>
        <v>2090.75</v>
      </c>
    </row>
    <row r="78" spans="1:9" ht="14.25" customHeight="1" x14ac:dyDescent="0.2">
      <c r="A78" s="661"/>
      <c r="B78" s="662" t="s">
        <v>1523</v>
      </c>
      <c r="C78" s="552" t="s">
        <v>117</v>
      </c>
      <c r="D78" s="506">
        <v>0.01</v>
      </c>
      <c r="E78" s="598">
        <f>$D78+$D78*SSP_parameters_assumptions!E78</f>
        <v>5.0000000000000001E-3</v>
      </c>
      <c r="F78" s="598">
        <f>$D78+$D78*SSP_parameters_assumptions!F78</f>
        <v>0.01</v>
      </c>
      <c r="G78" s="616">
        <v>6.7000000000000002E-3</v>
      </c>
      <c r="H78" s="598">
        <f>$D78+$D78*SSP_parameters_assumptions!H78</f>
        <v>5.4999999999999997E-3</v>
      </c>
      <c r="I78" s="598">
        <f>$D78+$D78*SSP_parameters_assumptions!I78</f>
        <v>1.2500000000000001E-2</v>
      </c>
    </row>
    <row r="79" spans="1:9" x14ac:dyDescent="0.2">
      <c r="A79" s="661"/>
      <c r="B79" s="662"/>
      <c r="C79" s="582" t="s">
        <v>118</v>
      </c>
      <c r="D79" s="506">
        <v>3.0000000000000001E-3</v>
      </c>
      <c r="E79" s="598">
        <f>$D79+$D79*SSP_parameters_assumptions!E79</f>
        <v>4.5000000000000005E-3</v>
      </c>
      <c r="F79" s="598">
        <f>$D79+$D79*SSP_parameters_assumptions!F79</f>
        <v>3.0000000000000001E-3</v>
      </c>
      <c r="G79" s="598">
        <f>$D79+$D79*SSP_parameters_assumptions!G79</f>
        <v>2.4000000000000002E-3</v>
      </c>
      <c r="H79" s="598">
        <f>$D79+$D79*SSP_parameters_assumptions!H79</f>
        <v>4.3499999999999997E-3</v>
      </c>
      <c r="I79" s="598">
        <f>$D79+$D79*SSP_parameters_assumptions!I79</f>
        <v>2.2500000000000003E-3</v>
      </c>
    </row>
    <row r="80" spans="1:9" x14ac:dyDescent="0.2">
      <c r="A80" s="661"/>
      <c r="B80" s="662"/>
      <c r="C80" s="582" t="s">
        <v>119</v>
      </c>
      <c r="D80" s="506">
        <v>0.04</v>
      </c>
      <c r="E80" s="598">
        <f>$D80+$D80*SSP_parameters_assumptions!E80</f>
        <v>4.2000000000000003E-2</v>
      </c>
      <c r="F80" s="598">
        <f>$D80+$D80*SSP_parameters_assumptions!F80</f>
        <v>0.04</v>
      </c>
      <c r="G80" s="598">
        <f>$D80+$D80*SSP_parameters_assumptions!G80</f>
        <v>4.2000000000000003E-2</v>
      </c>
      <c r="H80" s="598">
        <f>$D80+$D80*SSP_parameters_assumptions!H80</f>
        <v>0.04</v>
      </c>
      <c r="I80" s="598">
        <f>$D80+$D80*SSP_parameters_assumptions!I80</f>
        <v>4.2000000000000003E-2</v>
      </c>
    </row>
    <row r="81" spans="1:9" x14ac:dyDescent="0.2">
      <c r="A81" s="661"/>
      <c r="B81" s="662"/>
      <c r="C81" s="539" t="s">
        <v>126</v>
      </c>
      <c r="D81" s="552">
        <v>1.2</v>
      </c>
      <c r="E81" s="598">
        <f>$D81+$D81*SSP_parameters_assumptions!E81</f>
        <v>1.5</v>
      </c>
      <c r="F81" s="598">
        <f>$D81+$D81*SSP_parameters_assumptions!F81</f>
        <v>1.2</v>
      </c>
      <c r="G81" s="598">
        <f>$D81+$D81*SSP_parameters_assumptions!G81</f>
        <v>1.08</v>
      </c>
      <c r="H81" s="598">
        <f>$D81+$D81*SSP_parameters_assumptions!H81</f>
        <v>1.44</v>
      </c>
      <c r="I81" s="598">
        <f>$D81+$D81*SSP_parameters_assumptions!I81</f>
        <v>1.08</v>
      </c>
    </row>
    <row r="82" spans="1:9" x14ac:dyDescent="0.2">
      <c r="A82" s="661"/>
      <c r="B82" s="662"/>
      <c r="C82" s="9" t="s">
        <v>134</v>
      </c>
      <c r="D82" s="9">
        <v>0</v>
      </c>
      <c r="E82" s="615">
        <v>4</v>
      </c>
      <c r="F82" s="9">
        <v>0</v>
      </c>
      <c r="G82" s="9">
        <v>0</v>
      </c>
      <c r="H82" s="9">
        <v>1</v>
      </c>
      <c r="I82" s="9">
        <v>0</v>
      </c>
    </row>
    <row r="83" spans="1:9" x14ac:dyDescent="0.2">
      <c r="A83" s="653" t="s">
        <v>18</v>
      </c>
      <c r="B83" s="653" t="s">
        <v>1608</v>
      </c>
      <c r="C83" s="55" t="s">
        <v>1605</v>
      </c>
      <c r="D83" s="55">
        <v>0</v>
      </c>
      <c r="E83" s="553">
        <v>1</v>
      </c>
      <c r="F83" s="553">
        <v>2</v>
      </c>
      <c r="G83" s="553">
        <v>4</v>
      </c>
      <c r="H83" s="553">
        <v>3</v>
      </c>
      <c r="I83" s="553">
        <v>4</v>
      </c>
    </row>
    <row r="84" spans="1:9" x14ac:dyDescent="0.2">
      <c r="A84" s="653"/>
      <c r="B84" s="653"/>
      <c r="C84" s="55" t="s">
        <v>1601</v>
      </c>
      <c r="D84" s="55">
        <v>0</v>
      </c>
      <c r="E84" s="553">
        <v>1</v>
      </c>
      <c r="F84" s="553">
        <v>1</v>
      </c>
      <c r="G84" s="553">
        <v>0</v>
      </c>
      <c r="H84" s="553">
        <v>1</v>
      </c>
      <c r="I84" s="553">
        <v>0</v>
      </c>
    </row>
    <row r="85" spans="1:9" x14ac:dyDescent="0.2">
      <c r="A85" s="653"/>
      <c r="B85" s="653"/>
      <c r="C85" s="55" t="s">
        <v>1606</v>
      </c>
      <c r="D85" s="55">
        <v>0</v>
      </c>
      <c r="E85" s="553">
        <v>6</v>
      </c>
      <c r="F85" s="553">
        <v>5</v>
      </c>
      <c r="G85" s="553">
        <v>0</v>
      </c>
      <c r="H85" s="553">
        <v>3</v>
      </c>
      <c r="I85" s="553">
        <v>0</v>
      </c>
    </row>
    <row r="86" spans="1:9" x14ac:dyDescent="0.2">
      <c r="A86" s="653"/>
      <c r="B86" s="653"/>
      <c r="C86" s="55" t="s">
        <v>1607</v>
      </c>
      <c r="D86" s="55">
        <v>2020</v>
      </c>
      <c r="E86" s="553">
        <v>2025</v>
      </c>
      <c r="F86" s="553">
        <v>2040</v>
      </c>
      <c r="G86" s="553">
        <v>2100</v>
      </c>
      <c r="H86" s="553">
        <v>2040</v>
      </c>
      <c r="I86" s="553">
        <v>2040</v>
      </c>
    </row>
    <row r="87" spans="1:9" x14ac:dyDescent="0.2">
      <c r="A87" s="653"/>
      <c r="B87" s="653"/>
      <c r="C87" s="55" t="s">
        <v>1602</v>
      </c>
      <c r="D87" s="55">
        <v>0</v>
      </c>
      <c r="E87" s="553">
        <v>7.0000000000000007E-2</v>
      </c>
      <c r="F87" s="553">
        <v>0.05</v>
      </c>
      <c r="G87" s="553">
        <v>0</v>
      </c>
      <c r="H87" s="553">
        <v>0.03</v>
      </c>
      <c r="I87" s="553">
        <v>0</v>
      </c>
    </row>
    <row r="88" spans="1:9" x14ac:dyDescent="0.2">
      <c r="A88" s="653"/>
      <c r="B88" s="653"/>
      <c r="C88" s="55" t="s">
        <v>1603</v>
      </c>
      <c r="D88" s="55">
        <v>0</v>
      </c>
      <c r="E88" s="647">
        <v>17500000</v>
      </c>
      <c r="F88" s="647">
        <v>5000000</v>
      </c>
      <c r="G88" s="553">
        <v>0</v>
      </c>
      <c r="H88" s="647">
        <v>2000000</v>
      </c>
      <c r="I88" s="553">
        <v>0</v>
      </c>
    </row>
  </sheetData>
  <mergeCells count="22">
    <mergeCell ref="B83:B88"/>
    <mergeCell ref="A83:A88"/>
    <mergeCell ref="A71:A82"/>
    <mergeCell ref="B73:B77"/>
    <mergeCell ref="B78:B82"/>
    <mergeCell ref="A64:A70"/>
    <mergeCell ref="B64:B66"/>
    <mergeCell ref="B67:B70"/>
    <mergeCell ref="A24:A40"/>
    <mergeCell ref="B24:B36"/>
    <mergeCell ref="B37:B40"/>
    <mergeCell ref="A41:A54"/>
    <mergeCell ref="B41:B50"/>
    <mergeCell ref="B51:B54"/>
    <mergeCell ref="A55:A63"/>
    <mergeCell ref="B55:B59"/>
    <mergeCell ref="B60:B63"/>
    <mergeCell ref="A3:A23"/>
    <mergeCell ref="B3:B6"/>
    <mergeCell ref="B7:B17"/>
    <mergeCell ref="B18:B20"/>
    <mergeCell ref="B21:B23"/>
  </mergeCells>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80" zoomScaleNormal="80" workbookViewId="0">
      <pane xSplit="3" ySplit="1" topLeftCell="D26" activePane="bottomRight" state="frozen"/>
      <selection pane="topRight" activeCell="C1" sqref="C1"/>
      <selection pane="bottomLeft" activeCell="A2" sqref="A2"/>
      <selection pane="bottomRight" activeCell="I2" sqref="I2:I61"/>
    </sheetView>
  </sheetViews>
  <sheetFormatPr defaultColWidth="9" defaultRowHeight="15" x14ac:dyDescent="0.25"/>
  <cols>
    <col min="1" max="2" width="14.28515625" style="364" customWidth="1"/>
    <col min="3" max="3" width="77.5703125" style="355" bestFit="1" customWidth="1"/>
    <col min="4" max="4" width="16" style="93" customWidth="1"/>
    <col min="5" max="5" width="25.85546875" style="581" customWidth="1"/>
    <col min="6" max="6" width="25.5703125" style="581" customWidth="1"/>
    <col min="7" max="7" width="27.5703125" style="581" customWidth="1"/>
    <col min="8" max="8" width="25.85546875" style="581" customWidth="1"/>
    <col min="9" max="9" width="30.140625" style="581" customWidth="1"/>
    <col min="10" max="11" width="26.5703125" style="355" customWidth="1"/>
    <col min="12" max="12" width="25.140625" style="355" customWidth="1"/>
    <col min="13" max="13" width="19.85546875" style="355" customWidth="1"/>
    <col min="14" max="16384" width="9" style="355"/>
  </cols>
  <sheetData>
    <row r="1" spans="1:13" s="580" customFormat="1" ht="123" customHeight="1" x14ac:dyDescent="0.25">
      <c r="A1" s="359"/>
      <c r="B1" s="359"/>
      <c r="C1" s="359" t="s">
        <v>190</v>
      </c>
      <c r="D1" s="88" t="s">
        <v>1532</v>
      </c>
      <c r="E1" s="364" t="s">
        <v>136</v>
      </c>
      <c r="F1" s="364" t="s">
        <v>137</v>
      </c>
      <c r="G1" s="364" t="s">
        <v>138</v>
      </c>
      <c r="H1" s="359" t="s">
        <v>139</v>
      </c>
      <c r="I1" s="364" t="s">
        <v>140</v>
      </c>
      <c r="J1" s="364" t="s">
        <v>1439</v>
      </c>
      <c r="K1" s="364"/>
      <c r="L1" s="364" t="s">
        <v>1440</v>
      </c>
    </row>
    <row r="2" spans="1:13" x14ac:dyDescent="0.25">
      <c r="A2" s="659"/>
      <c r="B2" s="658"/>
      <c r="C2" s="51" t="s">
        <v>7</v>
      </c>
      <c r="D2" s="91">
        <v>0.51500000000000001</v>
      </c>
      <c r="E2" s="39">
        <v>0.38624999999999998</v>
      </c>
      <c r="F2" s="39">
        <v>0.46887200000000001</v>
      </c>
      <c r="G2" s="39">
        <v>0.53737000000000001</v>
      </c>
      <c r="H2" s="39">
        <v>0.56987500000000002</v>
      </c>
      <c r="I2" s="39">
        <v>0.38624999999999998</v>
      </c>
      <c r="J2" s="39"/>
      <c r="K2" s="39"/>
      <c r="L2" s="39"/>
      <c r="M2" s="39"/>
    </row>
    <row r="3" spans="1:13" x14ac:dyDescent="0.25">
      <c r="A3" s="659"/>
      <c r="B3" s="658"/>
      <c r="C3" s="91" t="s">
        <v>6</v>
      </c>
      <c r="D3" s="91">
        <v>12</v>
      </c>
      <c r="E3" s="39">
        <v>9.3894199999999994</v>
      </c>
      <c r="F3" s="39">
        <v>11.492900000000001</v>
      </c>
      <c r="G3" s="39">
        <v>15</v>
      </c>
      <c r="H3" s="39">
        <v>11.181800000000001</v>
      </c>
      <c r="I3" s="39">
        <v>10.757199999999999</v>
      </c>
      <c r="J3" s="39"/>
      <c r="K3" s="39"/>
      <c r="L3" s="39"/>
      <c r="M3" s="39"/>
    </row>
    <row r="4" spans="1:13" x14ac:dyDescent="0.25">
      <c r="A4" s="659"/>
      <c r="B4" s="658"/>
      <c r="C4" s="91" t="s">
        <v>5</v>
      </c>
      <c r="D4" s="91">
        <v>28</v>
      </c>
      <c r="E4" s="39">
        <v>28.935600000000001</v>
      </c>
      <c r="F4" s="39">
        <v>27.105799999999999</v>
      </c>
      <c r="G4" s="39">
        <v>22.505299999999998</v>
      </c>
      <c r="H4" s="39">
        <v>25.923200000000001</v>
      </c>
      <c r="I4" s="39">
        <v>28.114000000000001</v>
      </c>
      <c r="J4" s="39"/>
      <c r="K4" s="39"/>
      <c r="L4" s="39"/>
      <c r="M4" s="39"/>
    </row>
    <row r="5" spans="1:13" s="358" customFormat="1" x14ac:dyDescent="0.25">
      <c r="A5" s="659"/>
      <c r="B5" s="659"/>
      <c r="C5" s="91" t="s">
        <v>33</v>
      </c>
      <c r="D5" s="553">
        <v>0</v>
      </c>
      <c r="E5" s="362">
        <v>-8.4299400000000003E-3</v>
      </c>
      <c r="F5" s="362">
        <v>-8.4708500000000003E-3</v>
      </c>
      <c r="G5" s="362">
        <v>3.4964000000000002E-3</v>
      </c>
      <c r="H5" s="362">
        <v>3.4978600000000002E-3</v>
      </c>
      <c r="I5" s="362">
        <v>-8.5000000000000006E-3</v>
      </c>
      <c r="J5" s="39"/>
      <c r="K5" s="39"/>
      <c r="L5" s="39"/>
      <c r="M5" s="39"/>
    </row>
    <row r="6" spans="1:13" s="358" customFormat="1" x14ac:dyDescent="0.25">
      <c r="A6" s="659"/>
      <c r="B6" s="659"/>
      <c r="C6" s="91" t="s">
        <v>34</v>
      </c>
      <c r="D6" s="553">
        <v>0</v>
      </c>
      <c r="E6" s="362">
        <v>-8.4945999999999997E-3</v>
      </c>
      <c r="F6" s="362">
        <v>-8.4963999999999994E-3</v>
      </c>
      <c r="G6" s="362">
        <v>3.4964000000000002E-3</v>
      </c>
      <c r="H6" s="362">
        <v>3.5000000000000001E-3</v>
      </c>
      <c r="I6" s="362">
        <v>-8.5000000000000006E-3</v>
      </c>
      <c r="J6" s="39"/>
      <c r="K6" s="39"/>
      <c r="L6" s="39"/>
      <c r="M6" s="39"/>
    </row>
    <row r="7" spans="1:13" s="358" customFormat="1" x14ac:dyDescent="0.25">
      <c r="A7" s="659"/>
      <c r="B7" s="659"/>
      <c r="C7" s="91" t="s">
        <v>35</v>
      </c>
      <c r="D7" s="553">
        <v>0.01</v>
      </c>
      <c r="E7" s="362">
        <v>8.2838900000000004E-3</v>
      </c>
      <c r="F7" s="553">
        <v>1.79196E-3</v>
      </c>
      <c r="G7" s="362">
        <v>-3.8629599999999999E-3</v>
      </c>
      <c r="H7" s="362">
        <v>-2.8030199999999998E-3</v>
      </c>
      <c r="I7" s="362">
        <v>0.01</v>
      </c>
      <c r="J7" s="39"/>
      <c r="K7" s="39"/>
      <c r="L7" s="39"/>
      <c r="M7" s="39"/>
    </row>
    <row r="8" spans="1:13" x14ac:dyDescent="0.25">
      <c r="A8" s="659"/>
      <c r="B8" s="659"/>
      <c r="C8" s="91" t="s">
        <v>36</v>
      </c>
      <c r="D8" s="553">
        <v>5.0000000000000001E-3</v>
      </c>
      <c r="E8" s="362">
        <v>3.8922399999999999E-3</v>
      </c>
      <c r="F8" s="553">
        <v>4.8892700000000002E-3</v>
      </c>
      <c r="G8" s="362">
        <v>-4.3786500000000004E-3</v>
      </c>
      <c r="H8" s="362">
        <v>-3.3459700000000002E-3</v>
      </c>
      <c r="I8" s="362">
        <v>4.98235E-3</v>
      </c>
      <c r="J8" s="39"/>
      <c r="K8" s="39"/>
      <c r="L8" s="39"/>
      <c r="M8" s="39"/>
    </row>
    <row r="9" spans="1:13" s="358" customFormat="1" x14ac:dyDescent="0.25">
      <c r="A9" s="659"/>
      <c r="B9" s="659"/>
      <c r="C9" s="91" t="s">
        <v>1534</v>
      </c>
      <c r="D9" s="553">
        <v>0.6</v>
      </c>
      <c r="E9" s="362">
        <v>0.60223800000000005</v>
      </c>
      <c r="F9" s="553">
        <v>0.65551800000000005</v>
      </c>
      <c r="G9" s="362">
        <v>0.464532</v>
      </c>
      <c r="H9" s="362">
        <v>0.42388199999999998</v>
      </c>
      <c r="I9" s="362">
        <v>0.59101199999999998</v>
      </c>
      <c r="J9" s="39"/>
      <c r="K9" s="39"/>
      <c r="L9" s="39"/>
      <c r="M9" s="39"/>
    </row>
    <row r="10" spans="1:13" x14ac:dyDescent="0.25">
      <c r="A10" s="659"/>
      <c r="B10" s="659"/>
      <c r="C10" s="91" t="s">
        <v>37</v>
      </c>
      <c r="D10" s="553">
        <v>0</v>
      </c>
      <c r="E10" s="362">
        <v>7.0000000000000001E-3</v>
      </c>
      <c r="F10" s="362">
        <v>7.0000000000000001E-3</v>
      </c>
      <c r="G10" s="362">
        <v>-8.82429E-4</v>
      </c>
      <c r="H10" s="362">
        <v>7.0000000000000001E-3</v>
      </c>
      <c r="I10" s="362">
        <v>7.0000000000000001E-3</v>
      </c>
      <c r="J10" s="39"/>
      <c r="K10" s="39"/>
      <c r="L10" s="39"/>
      <c r="M10" s="39"/>
    </row>
    <row r="11" spans="1:13" x14ac:dyDescent="0.25">
      <c r="A11" s="659"/>
      <c r="B11" s="659"/>
      <c r="C11" s="91" t="s">
        <v>38</v>
      </c>
      <c r="D11" s="553">
        <v>0</v>
      </c>
      <c r="E11" s="362">
        <v>5.0000000000000001E-3</v>
      </c>
      <c r="F11" s="362">
        <v>2.4827400000000002E-3</v>
      </c>
      <c r="G11" s="362">
        <v>-1E-3</v>
      </c>
      <c r="H11" s="362">
        <v>3.8262399999999998E-3</v>
      </c>
      <c r="I11" s="362">
        <v>5.0000000000000001E-3</v>
      </c>
      <c r="J11" s="39"/>
      <c r="K11" s="39"/>
      <c r="L11" s="39"/>
      <c r="M11" s="39"/>
    </row>
    <row r="12" spans="1:13" s="358" customFormat="1" x14ac:dyDescent="0.25">
      <c r="A12" s="659"/>
      <c r="B12" s="659"/>
      <c r="C12" s="91" t="s">
        <v>1533</v>
      </c>
      <c r="D12" s="553">
        <v>0.77</v>
      </c>
      <c r="E12" s="362">
        <v>0.79222000000000004</v>
      </c>
      <c r="F12" s="362">
        <v>0.50268699999999999</v>
      </c>
      <c r="G12" s="362">
        <v>0.38500000000000001</v>
      </c>
      <c r="H12" s="362">
        <v>0.38500000000000001</v>
      </c>
      <c r="I12" s="362">
        <v>0.81733199999999995</v>
      </c>
      <c r="J12" s="39"/>
      <c r="K12" s="39"/>
      <c r="L12" s="39"/>
      <c r="M12" s="39"/>
    </row>
    <row r="13" spans="1:13" s="358" customFormat="1" x14ac:dyDescent="0.25">
      <c r="A13" s="659"/>
      <c r="B13" s="658"/>
      <c r="C13" s="91" t="s">
        <v>39</v>
      </c>
      <c r="D13" s="91">
        <v>0.42499999999999999</v>
      </c>
      <c r="E13" s="39">
        <v>0.47792200000000001</v>
      </c>
      <c r="F13" s="39">
        <v>0.44716499999999998</v>
      </c>
      <c r="G13" s="39">
        <v>0.32067899999999999</v>
      </c>
      <c r="H13" s="39">
        <v>0.35711199999999999</v>
      </c>
      <c r="I13" s="39">
        <v>0.55308400000000002</v>
      </c>
      <c r="J13" s="535"/>
      <c r="K13" s="39"/>
      <c r="L13" s="39"/>
      <c r="M13" s="39"/>
    </row>
    <row r="14" spans="1:13" s="358" customFormat="1" x14ac:dyDescent="0.25">
      <c r="A14" s="659"/>
      <c r="B14" s="658"/>
      <c r="C14" s="91" t="s">
        <v>40</v>
      </c>
      <c r="D14" s="91">
        <v>0.75</v>
      </c>
      <c r="E14" s="39">
        <v>0.81459199999999998</v>
      </c>
      <c r="F14" s="39">
        <v>0.72691600000000001</v>
      </c>
      <c r="G14" s="39">
        <v>0.70688700000000004</v>
      </c>
      <c r="H14" s="39">
        <v>0.93744499999999997</v>
      </c>
      <c r="I14" s="39">
        <v>0.920655</v>
      </c>
      <c r="J14" s="39"/>
      <c r="K14" s="39"/>
      <c r="L14" s="39"/>
      <c r="M14" s="39"/>
    </row>
    <row r="15" spans="1:13" s="358" customFormat="1" x14ac:dyDescent="0.25">
      <c r="A15" s="659"/>
      <c r="B15" s="658"/>
      <c r="C15" s="89" t="s">
        <v>97</v>
      </c>
      <c r="D15" s="89">
        <v>1.25</v>
      </c>
      <c r="E15" s="39">
        <f>$D15+$D15*SSP_parameters_assumptions!E22</f>
        <v>1.125</v>
      </c>
      <c r="F15" s="39">
        <f>$D15+$D15*SSP_parameters_assumptions!F22</f>
        <v>1.25</v>
      </c>
      <c r="G15" s="39">
        <f>$D15+$D15*SSP_parameters_assumptions!G22</f>
        <v>0.9375</v>
      </c>
      <c r="H15" s="39">
        <f>$D15+$D15*SSP_parameters_assumptions!H22</f>
        <v>1.3125</v>
      </c>
      <c r="I15" s="39">
        <f>$D15+$D15*SSP_parameters_assumptions!I22</f>
        <v>1.875</v>
      </c>
      <c r="J15" s="39"/>
      <c r="K15" s="39"/>
      <c r="L15" s="39"/>
      <c r="M15" s="39"/>
    </row>
    <row r="16" spans="1:13" x14ac:dyDescent="0.25">
      <c r="A16" s="659"/>
      <c r="B16" s="658"/>
      <c r="C16" s="50" t="s">
        <v>98</v>
      </c>
      <c r="D16" s="89">
        <v>5</v>
      </c>
      <c r="E16" s="39">
        <f>$D16+$D16*SSP_parameters_assumptions!E23</f>
        <v>5.5</v>
      </c>
      <c r="F16" s="39">
        <f>$D16+$D16*SSP_parameters_assumptions!F23</f>
        <v>5</v>
      </c>
      <c r="G16" s="39">
        <f>$D16+$D16*SSP_parameters_assumptions!G23</f>
        <v>6.25</v>
      </c>
      <c r="H16" s="39">
        <f>$D16+$D16*SSP_parameters_assumptions!H23</f>
        <v>4.75</v>
      </c>
      <c r="I16" s="39">
        <f>$D16+$D16*SSP_parameters_assumptions!I23</f>
        <v>2.5</v>
      </c>
      <c r="J16" s="39"/>
      <c r="K16" s="39"/>
      <c r="L16" s="39"/>
      <c r="M16" s="39"/>
    </row>
    <row r="17" spans="1:13" x14ac:dyDescent="0.25">
      <c r="A17" s="659" t="s">
        <v>144</v>
      </c>
      <c r="B17" s="658" t="s">
        <v>393</v>
      </c>
      <c r="C17" s="89" t="s">
        <v>44</v>
      </c>
      <c r="D17" s="89">
        <v>1.9999999999999999E-6</v>
      </c>
      <c r="E17" s="39">
        <f>$D17+$D17*SSP_parameters_assumptions!E31</f>
        <v>1.3999999999999999E-6</v>
      </c>
      <c r="F17" s="39">
        <f>$D17+$D17*SSP_parameters_assumptions!F31</f>
        <v>1.9999999999999999E-6</v>
      </c>
      <c r="G17" s="39">
        <f>$D17+$D17*SSP_parameters_assumptions!G31</f>
        <v>1.9E-6</v>
      </c>
      <c r="H17" s="39">
        <f>$D17+$D17*SSP_parameters_assumptions!H31</f>
        <v>1.84E-6</v>
      </c>
      <c r="I17" s="39">
        <f>$D17+$D17*SSP_parameters_assumptions!I31</f>
        <v>3.1999999999999999E-6</v>
      </c>
      <c r="J17" s="38"/>
      <c r="K17" s="38"/>
      <c r="L17" s="38"/>
      <c r="M17" s="38"/>
    </row>
    <row r="18" spans="1:13" x14ac:dyDescent="0.25">
      <c r="A18" s="659"/>
      <c r="B18" s="658"/>
      <c r="C18" s="91" t="s">
        <v>45</v>
      </c>
      <c r="D18" s="91">
        <v>0.6</v>
      </c>
      <c r="E18" s="39">
        <f>$D18+$D18*SSP_parameters_assumptions!E32</f>
        <v>0.44999999999999996</v>
      </c>
      <c r="F18" s="39">
        <f>$D18+$D18*SSP_parameters_assumptions!F32</f>
        <v>0.6</v>
      </c>
      <c r="G18" s="550">
        <v>1</v>
      </c>
      <c r="H18" s="39">
        <f>$D18+$D18*SSP_parameters_assumptions!H32</f>
        <v>0.78</v>
      </c>
      <c r="I18" s="39">
        <f>$D18+$D18*SSP_parameters_assumptions!I32</f>
        <v>0.63</v>
      </c>
      <c r="J18" s="38"/>
      <c r="K18" s="38"/>
      <c r="L18" s="38"/>
      <c r="M18" s="38"/>
    </row>
    <row r="19" spans="1:13" x14ac:dyDescent="0.25">
      <c r="A19" s="659"/>
      <c r="B19" s="658"/>
      <c r="C19" s="91" t="s">
        <v>46</v>
      </c>
      <c r="D19" s="91">
        <v>0.54</v>
      </c>
      <c r="E19" s="39">
        <f>$D19+$D19*SSP_parameters_assumptions!E33</f>
        <v>0.94500000000000006</v>
      </c>
      <c r="F19" s="39">
        <f>$D19+$D19*SSP_parameters_assumptions!F33</f>
        <v>0.54</v>
      </c>
      <c r="G19" s="550">
        <v>0.63749999999999996</v>
      </c>
      <c r="H19" s="39">
        <f>$D19+$D19*SSP_parameters_assumptions!H33</f>
        <v>0.70200000000000007</v>
      </c>
      <c r="I19" s="39">
        <f>$D19+$D19*SSP_parameters_assumptions!I33</f>
        <v>0.64800000000000002</v>
      </c>
      <c r="J19" s="38"/>
      <c r="K19" s="38"/>
      <c r="L19" s="38"/>
      <c r="M19" s="38"/>
    </row>
    <row r="20" spans="1:13" x14ac:dyDescent="0.25">
      <c r="A20" s="659"/>
      <c r="B20" s="658"/>
      <c r="C20" s="91" t="s">
        <v>47</v>
      </c>
      <c r="D20" s="91">
        <v>0.89</v>
      </c>
      <c r="E20" s="39">
        <f>$D20+$D20*SSP_parameters_assumptions!E34</f>
        <v>0.80100000000000005</v>
      </c>
      <c r="F20" s="39">
        <f>$D20+$D20*SSP_parameters_assumptions!F34</f>
        <v>0.89</v>
      </c>
      <c r="G20" s="550">
        <v>1.25</v>
      </c>
      <c r="H20" s="39">
        <f>$D20+$D20*SSP_parameters_assumptions!H34</f>
        <v>0.84550000000000003</v>
      </c>
      <c r="I20" s="39">
        <f>$D20+$D20*SSP_parameters_assumptions!I34</f>
        <v>1.1125</v>
      </c>
      <c r="J20" s="38"/>
      <c r="K20" s="38"/>
      <c r="L20" s="38"/>
      <c r="M20" s="38"/>
    </row>
    <row r="21" spans="1:13" x14ac:dyDescent="0.25">
      <c r="A21" s="659"/>
      <c r="B21" s="658"/>
      <c r="C21" s="91" t="s">
        <v>48</v>
      </c>
      <c r="D21" s="91">
        <v>1</v>
      </c>
      <c r="E21" s="39">
        <f>$D21+$D21*SSP_parameters_assumptions!E35</f>
        <v>1.25</v>
      </c>
      <c r="F21" s="39">
        <f>$D21+$D21*SSP_parameters_assumptions!F35</f>
        <v>1</v>
      </c>
      <c r="G21" s="39">
        <f>$D21+$D21*SSP_parameters_assumptions!G35</f>
        <v>0.5</v>
      </c>
      <c r="H21" s="39">
        <f>$D21+$D21*SSP_parameters_assumptions!H35</f>
        <v>0.8</v>
      </c>
      <c r="I21" s="39">
        <f>$D21+$D21*SSP_parameters_assumptions!I35</f>
        <v>1</v>
      </c>
      <c r="J21" s="38"/>
      <c r="K21" s="38"/>
      <c r="L21" s="38"/>
      <c r="M21" s="38"/>
    </row>
    <row r="22" spans="1:13" x14ac:dyDescent="0.25">
      <c r="A22" s="659"/>
      <c r="B22" s="658"/>
      <c r="C22" s="91" t="s">
        <v>49</v>
      </c>
      <c r="D22" s="91">
        <v>0.8</v>
      </c>
      <c r="E22" s="39">
        <f>$D22+$D22*SSP_parameters_assumptions!E36</f>
        <v>0.8</v>
      </c>
      <c r="F22" s="39">
        <f>$D22+$D22*SSP_parameters_assumptions!F36</f>
        <v>0.8</v>
      </c>
      <c r="G22" s="39">
        <f>$D22+$D22*SSP_parameters_assumptions!G36</f>
        <v>1.2000000000000002</v>
      </c>
      <c r="H22" s="39">
        <f>$D22+$D22*SSP_parameters_assumptions!H36</f>
        <v>0.96000000000000008</v>
      </c>
      <c r="I22" s="39">
        <f>$D22+$D22*SSP_parameters_assumptions!I36</f>
        <v>0.84000000000000008</v>
      </c>
      <c r="J22" s="38"/>
      <c r="K22" s="38"/>
      <c r="L22" s="38"/>
      <c r="M22" s="38"/>
    </row>
    <row r="23" spans="1:13" x14ac:dyDescent="0.25">
      <c r="A23" s="659"/>
      <c r="B23" s="658" t="s">
        <v>394</v>
      </c>
      <c r="C23" s="91" t="s">
        <v>50</v>
      </c>
      <c r="D23" s="91">
        <v>1</v>
      </c>
      <c r="E23" s="39">
        <f>$D23+$D23*SSP_parameters_assumptions!E37</f>
        <v>0.9</v>
      </c>
      <c r="F23" s="39">
        <f>$D23+$D23*SSP_parameters_assumptions!F37</f>
        <v>1</v>
      </c>
      <c r="G23" s="39">
        <f>$D23+$D23*SSP_parameters_assumptions!G37</f>
        <v>1.1000000000000001</v>
      </c>
      <c r="H23" s="39">
        <f>$D23+$D23*SSP_parameters_assumptions!H37</f>
        <v>1.25</v>
      </c>
      <c r="I23" s="39">
        <f>$D23+$D23*SSP_parameters_assumptions!I37</f>
        <v>1.3</v>
      </c>
      <c r="J23" s="38"/>
      <c r="K23" s="38"/>
      <c r="L23" s="38"/>
      <c r="M23" s="38"/>
    </row>
    <row r="24" spans="1:13" x14ac:dyDescent="0.25">
      <c r="A24" s="659"/>
      <c r="B24" s="658"/>
      <c r="C24" s="55" t="s">
        <v>1492</v>
      </c>
      <c r="D24" s="91">
        <v>8</v>
      </c>
      <c r="E24" s="39">
        <f>$D24+$D24*SSP_parameters_assumptions!E38</f>
        <v>26</v>
      </c>
      <c r="F24" s="39">
        <f>$D24+$D24*SSP_parameters_assumptions!F38</f>
        <v>8</v>
      </c>
      <c r="G24" s="550">
        <v>1</v>
      </c>
      <c r="H24" s="39">
        <f>$D24+$D24*SSP_parameters_assumptions!H38</f>
        <v>12</v>
      </c>
      <c r="I24" s="39">
        <f>$D24+$D24*SSP_parameters_assumptions!I38</f>
        <v>9.6</v>
      </c>
      <c r="J24" s="38"/>
      <c r="K24" s="38"/>
      <c r="L24" s="38"/>
      <c r="M24" s="38"/>
    </row>
    <row r="25" spans="1:13" x14ac:dyDescent="0.25">
      <c r="A25" s="659"/>
      <c r="B25" s="658"/>
      <c r="C25" s="55" t="s">
        <v>1493</v>
      </c>
      <c r="D25" s="91">
        <v>6</v>
      </c>
      <c r="E25" s="39">
        <f>$D25+$D25*SSP_parameters_assumptions!E39</f>
        <v>9</v>
      </c>
      <c r="F25" s="39">
        <f>$D25+$D25*SSP_parameters_assumptions!F39</f>
        <v>6</v>
      </c>
      <c r="G25" s="550">
        <v>1</v>
      </c>
      <c r="H25" s="39">
        <f>$D25+$D25*SSP_parameters_assumptions!H39</f>
        <v>6</v>
      </c>
      <c r="I25" s="39">
        <f>$D25+$D25*SSP_parameters_assumptions!I39</f>
        <v>5.7</v>
      </c>
      <c r="J25" s="38"/>
      <c r="K25" s="38"/>
      <c r="L25" s="38"/>
      <c r="M25" s="38"/>
    </row>
    <row r="26" spans="1:13" s="358" customFormat="1" x14ac:dyDescent="0.25">
      <c r="A26" s="659"/>
      <c r="B26" s="658"/>
      <c r="C26" s="55" t="s">
        <v>1494</v>
      </c>
      <c r="D26" s="91">
        <v>3.25</v>
      </c>
      <c r="E26" s="39">
        <f>$D26+$D26*SSP_parameters_assumptions!E40</f>
        <v>11.375</v>
      </c>
      <c r="F26" s="39">
        <f>$D26+$D26*SSP_parameters_assumptions!F40</f>
        <v>3.25</v>
      </c>
      <c r="G26" s="39">
        <f>$D26+$D26*SSP_parameters_assumptions!G40</f>
        <v>13</v>
      </c>
      <c r="H26" s="39">
        <f>$D26+$D26*SSP_parameters_assumptions!H40</f>
        <v>8.125</v>
      </c>
      <c r="I26" s="39">
        <f>$D26+$D26*SSP_parameters_assumptions!I40</f>
        <v>4.0625</v>
      </c>
      <c r="J26" s="507"/>
      <c r="K26" s="507"/>
      <c r="L26" s="507"/>
      <c r="M26" s="507"/>
    </row>
    <row r="27" spans="1:13" s="358" customFormat="1" x14ac:dyDescent="0.25">
      <c r="A27" s="659" t="s">
        <v>1511</v>
      </c>
      <c r="B27" s="659" t="s">
        <v>1508</v>
      </c>
      <c r="C27" s="582" t="s">
        <v>84</v>
      </c>
      <c r="D27" s="564">
        <v>10</v>
      </c>
      <c r="E27" s="39">
        <f>$D27+$D27*SSP_parameters_assumptions!E41</f>
        <v>10</v>
      </c>
      <c r="F27" s="39">
        <f>$D27+$D27*SSP_parameters_assumptions!F41</f>
        <v>10</v>
      </c>
      <c r="G27" s="39">
        <f>$D27+$D27*SSP_parameters_assumptions!G41</f>
        <v>10</v>
      </c>
      <c r="H27" s="39">
        <f>$D27+$D27*SSP_parameters_assumptions!H41</f>
        <v>10</v>
      </c>
      <c r="I27" s="39">
        <f>$D27+$D27*SSP_parameters_assumptions!I41</f>
        <v>10</v>
      </c>
      <c r="J27" s="507"/>
      <c r="K27" s="507"/>
      <c r="L27" s="507"/>
      <c r="M27" s="507"/>
    </row>
    <row r="28" spans="1:13" s="358" customFormat="1" ht="14.25" customHeight="1" x14ac:dyDescent="0.25">
      <c r="A28" s="659"/>
      <c r="B28" s="659"/>
      <c r="C28" s="55" t="s">
        <v>70</v>
      </c>
      <c r="D28" s="91">
        <v>1</v>
      </c>
      <c r="E28" s="39">
        <f>$D28+$D28*SSP_parameters_assumptions!E42</f>
        <v>0.5</v>
      </c>
      <c r="F28" s="39">
        <f>$D28+$D28*SSP_parameters_assumptions!F42</f>
        <v>1</v>
      </c>
      <c r="G28" s="39">
        <f>$D28+$D28*SSP_parameters_assumptions!G42</f>
        <v>0.8</v>
      </c>
      <c r="H28" s="39">
        <f>$D28+$D28*SSP_parameters_assumptions!H42</f>
        <v>0.8</v>
      </c>
      <c r="I28" s="39">
        <f>$D28+$D28*SSP_parameters_assumptions!I42</f>
        <v>1.2</v>
      </c>
      <c r="J28" s="38"/>
      <c r="K28" s="38"/>
      <c r="L28" s="38"/>
      <c r="M28" s="38"/>
    </row>
    <row r="29" spans="1:13" s="358" customFormat="1" x14ac:dyDescent="0.25">
      <c r="A29" s="659"/>
      <c r="B29" s="659"/>
      <c r="C29" s="55" t="s">
        <v>74</v>
      </c>
      <c r="D29" s="91">
        <v>1.25</v>
      </c>
      <c r="E29" s="39">
        <f>$D29+$D29*SSP_parameters_assumptions!E43</f>
        <v>0.9375</v>
      </c>
      <c r="F29" s="39">
        <f>$D29+$D29*SSP_parameters_assumptions!F43</f>
        <v>1.25</v>
      </c>
      <c r="G29" s="39">
        <f>$D29+$D29*SSP_parameters_assumptions!G43</f>
        <v>1.4375</v>
      </c>
      <c r="H29" s="39">
        <f>$D29+$D29*SSP_parameters_assumptions!H43</f>
        <v>1.0625</v>
      </c>
      <c r="I29" s="39">
        <f>$D29+$D29*SSP_parameters_assumptions!I43</f>
        <v>1.875</v>
      </c>
      <c r="J29" s="38"/>
      <c r="K29" s="38"/>
      <c r="L29" s="38"/>
      <c r="M29" s="38"/>
    </row>
    <row r="30" spans="1:13" s="358" customFormat="1" x14ac:dyDescent="0.25">
      <c r="A30" s="659"/>
      <c r="B30" s="659"/>
      <c r="C30" s="91" t="s">
        <v>78</v>
      </c>
      <c r="D30" s="91">
        <v>0.15</v>
      </c>
      <c r="E30" s="39">
        <f>$D30+$D30*SSP_parameters_assumptions!E43</f>
        <v>0.11249999999999999</v>
      </c>
      <c r="F30" s="39">
        <f>$D30+$D30*SSP_parameters_assumptions!F43</f>
        <v>0.15</v>
      </c>
      <c r="G30" s="39">
        <f>$D30+$D30*SSP_parameters_assumptions!G43</f>
        <v>0.17249999999999999</v>
      </c>
      <c r="H30" s="39">
        <f>$D30+$D30*SSP_parameters_assumptions!H43</f>
        <v>0.1275</v>
      </c>
      <c r="I30" s="39">
        <f>$D30+$D30*SSP_parameters_assumptions!I43</f>
        <v>0.22499999999999998</v>
      </c>
      <c r="J30" s="507"/>
      <c r="K30" s="507"/>
      <c r="L30" s="507"/>
      <c r="M30" s="507"/>
    </row>
    <row r="31" spans="1:13" s="358" customFormat="1" x14ac:dyDescent="0.25">
      <c r="A31" s="659"/>
      <c r="B31" s="659"/>
      <c r="C31" s="89" t="s">
        <v>73</v>
      </c>
      <c r="D31" s="91">
        <v>2.8E-11</v>
      </c>
      <c r="E31" s="39">
        <f>$D31+$D31*SSP_parameters_assumptions!E45</f>
        <v>1.4E-11</v>
      </c>
      <c r="F31" s="39">
        <f>$D31+$D31*SSP_parameters_assumptions!F45</f>
        <v>2.8E-11</v>
      </c>
      <c r="G31" s="39">
        <f>$D31+$D31*SSP_parameters_assumptions!G45</f>
        <v>2.2400000000000001E-11</v>
      </c>
      <c r="H31" s="39">
        <f>$D31+$D31*SSP_parameters_assumptions!H45</f>
        <v>2.2400000000000001E-11</v>
      </c>
      <c r="I31" s="39">
        <f>$D31+$D31*SSP_parameters_assumptions!I45</f>
        <v>3.3599999999999999E-11</v>
      </c>
      <c r="J31" s="507"/>
      <c r="K31" s="507"/>
      <c r="L31" s="507"/>
      <c r="M31" s="507"/>
    </row>
    <row r="32" spans="1:13" s="358" customFormat="1" x14ac:dyDescent="0.25">
      <c r="A32" s="659"/>
      <c r="B32" s="659"/>
      <c r="C32" s="89" t="s">
        <v>77</v>
      </c>
      <c r="D32" s="89">
        <v>3E-11</v>
      </c>
      <c r="E32" s="39">
        <f>$D32+$D32*SSP_parameters_assumptions!E46</f>
        <v>1.6500000000000001E-11</v>
      </c>
      <c r="F32" s="39">
        <f>$D32+$D32*SSP_parameters_assumptions!F46</f>
        <v>3E-11</v>
      </c>
      <c r="G32" s="39">
        <f>$D32+$D32*SSP_parameters_assumptions!G46</f>
        <v>1.9499999999999997E-11</v>
      </c>
      <c r="H32" s="39">
        <f>$D32+$D32*SSP_parameters_assumptions!H46</f>
        <v>1.5E-11</v>
      </c>
      <c r="I32" s="39">
        <f>$D32+$D32*SSP_parameters_assumptions!I46</f>
        <v>4.0500000000000002E-11</v>
      </c>
      <c r="J32" s="507"/>
      <c r="K32" s="507"/>
      <c r="L32" s="507"/>
      <c r="M32" s="507"/>
    </row>
    <row r="33" spans="1:13" s="358" customFormat="1" x14ac:dyDescent="0.25">
      <c r="A33" s="659"/>
      <c r="B33" s="659"/>
      <c r="C33" s="55" t="s">
        <v>81</v>
      </c>
      <c r="D33" s="89">
        <v>1.2999999999999999E-12</v>
      </c>
      <c r="E33" s="39">
        <f>$D33+$D33*SSP_parameters_assumptions!E47</f>
        <v>9.7499999999999999E-13</v>
      </c>
      <c r="F33" s="39">
        <f>$D33+$D33*SSP_parameters_assumptions!F47</f>
        <v>1.2999999999999999E-12</v>
      </c>
      <c r="G33" s="39">
        <f>$D33+$D33*SSP_parameters_assumptions!G47</f>
        <v>1.495E-12</v>
      </c>
      <c r="H33" s="39">
        <f>$D33+$D33*SSP_parameters_assumptions!H47</f>
        <v>1.1049999999999998E-12</v>
      </c>
      <c r="I33" s="39">
        <f>$D33+$D33*SSP_parameters_assumptions!I47</f>
        <v>1.95E-12</v>
      </c>
      <c r="J33" s="507"/>
      <c r="K33" s="507"/>
      <c r="L33" s="507"/>
      <c r="M33" s="507"/>
    </row>
    <row r="34" spans="1:13" s="358" customFormat="1" x14ac:dyDescent="0.25">
      <c r="A34" s="659"/>
      <c r="B34" s="659"/>
      <c r="C34" s="91" t="s">
        <v>56</v>
      </c>
      <c r="D34" s="89">
        <v>2</v>
      </c>
      <c r="E34" s="39">
        <f>$D34+$D34*SSP_parameters_assumptions!E48</f>
        <v>2.2999999999999998</v>
      </c>
      <c r="F34" s="39">
        <f>$D34+$D34*SSP_parameters_assumptions!F48</f>
        <v>2</v>
      </c>
      <c r="G34" s="39">
        <f>$D34+$D34*SSP_parameters_assumptions!G48</f>
        <v>1.5</v>
      </c>
      <c r="H34" s="39">
        <f>$D34+$D34*SSP_parameters_assumptions!H48</f>
        <v>1.8</v>
      </c>
      <c r="I34" s="39">
        <f>$D34+$D34*SSP_parameters_assumptions!I48</f>
        <v>2</v>
      </c>
      <c r="J34" s="507"/>
      <c r="K34" s="507"/>
      <c r="L34" s="507"/>
      <c r="M34" s="507"/>
    </row>
    <row r="35" spans="1:13" s="358" customFormat="1" x14ac:dyDescent="0.25">
      <c r="A35" s="659"/>
      <c r="B35" s="659"/>
      <c r="C35" s="55" t="s">
        <v>63</v>
      </c>
      <c r="D35" s="91">
        <v>0.2</v>
      </c>
      <c r="E35" s="39">
        <f>$D35+$D35*SSP_parameters_assumptions!E49</f>
        <v>0.23</v>
      </c>
      <c r="F35" s="39">
        <f>$D35+$D35*SSP_parameters_assumptions!F49</f>
        <v>0.2</v>
      </c>
      <c r="G35" s="39">
        <f>$D35+$D35*SSP_parameters_assumptions!G49</f>
        <v>0.14000000000000001</v>
      </c>
      <c r="H35" s="39">
        <f>$D35+$D35*SSP_parameters_assumptions!H49</f>
        <v>0.18</v>
      </c>
      <c r="I35" s="39">
        <f>$D35+$D35*SSP_parameters_assumptions!I49</f>
        <v>0.2</v>
      </c>
      <c r="J35" s="38"/>
      <c r="K35" s="38"/>
      <c r="L35" s="38"/>
      <c r="M35" s="38"/>
    </row>
    <row r="36" spans="1:13" s="358" customFormat="1" x14ac:dyDescent="0.25">
      <c r="A36" s="659"/>
      <c r="B36" s="659"/>
      <c r="C36" s="539" t="s">
        <v>69</v>
      </c>
      <c r="D36" s="91">
        <v>50</v>
      </c>
      <c r="E36" s="39">
        <f>$D36+$D36*SSP_parameters_assumptions!E50</f>
        <v>42.5</v>
      </c>
      <c r="F36" s="39">
        <f>$D36+$D36*SSP_parameters_assumptions!F50</f>
        <v>50</v>
      </c>
      <c r="G36" s="39">
        <f>$D36+$D36*SSP_parameters_assumptions!G50</f>
        <v>65</v>
      </c>
      <c r="H36" s="39">
        <f>$D36+$D36*SSP_parameters_assumptions!H50</f>
        <v>55</v>
      </c>
      <c r="I36" s="39">
        <f>$D36+$D36*SSP_parameters_assumptions!I50</f>
        <v>50</v>
      </c>
      <c r="J36" s="519"/>
      <c r="K36" s="519"/>
      <c r="L36" s="519"/>
      <c r="M36" s="519"/>
    </row>
    <row r="37" spans="1:13" x14ac:dyDescent="0.25">
      <c r="A37" s="659"/>
      <c r="B37" s="658" t="s">
        <v>1509</v>
      </c>
      <c r="C37" s="89" t="s">
        <v>71</v>
      </c>
      <c r="D37" s="89">
        <v>0.04</v>
      </c>
      <c r="E37" s="39">
        <f>$D37+$D37*SSP_parameters_assumptions!E51</f>
        <v>0.02</v>
      </c>
      <c r="F37" s="39">
        <f>$D37+$D37*SSP_parameters_assumptions!F51</f>
        <v>0.04</v>
      </c>
      <c r="G37" s="39">
        <f>$D37+$D37*SSP_parameters_assumptions!G51</f>
        <v>3.2000000000000001E-2</v>
      </c>
      <c r="H37" s="39">
        <f>$D37+$D37*SSP_parameters_assumptions!H51</f>
        <v>3.2000000000000001E-2</v>
      </c>
      <c r="I37" s="39">
        <f>$D37+$D37*SSP_parameters_assumptions!I51</f>
        <v>4.8000000000000001E-2</v>
      </c>
      <c r="J37" s="38"/>
      <c r="K37" s="38"/>
      <c r="L37" s="38"/>
      <c r="M37" s="38"/>
    </row>
    <row r="38" spans="1:13" x14ac:dyDescent="0.25">
      <c r="A38" s="659"/>
      <c r="B38" s="658"/>
      <c r="C38" s="89" t="s">
        <v>75</v>
      </c>
      <c r="D38" s="89">
        <v>0.04</v>
      </c>
      <c r="E38" s="39">
        <f>$D38+$D38*SSP_parameters_assumptions!E52</f>
        <v>0.03</v>
      </c>
      <c r="F38" s="39">
        <f>$D38+$D38*SSP_parameters_assumptions!F52</f>
        <v>0.04</v>
      </c>
      <c r="G38" s="39">
        <f>$D38+$D38*SSP_parameters_assumptions!G52</f>
        <v>3.4000000000000002E-2</v>
      </c>
      <c r="H38" s="39">
        <f>$D38+$D38*SSP_parameters_assumptions!H52</f>
        <v>0.03</v>
      </c>
      <c r="I38" s="39">
        <f>$D38+$D38*SSP_parameters_assumptions!I52</f>
        <v>4.8000000000000001E-2</v>
      </c>
      <c r="J38" s="38"/>
      <c r="K38" s="38"/>
      <c r="L38" s="38"/>
      <c r="M38" s="38"/>
    </row>
    <row r="39" spans="1:13" x14ac:dyDescent="0.25">
      <c r="A39" s="659"/>
      <c r="B39" s="658"/>
      <c r="C39" s="89" t="s">
        <v>79</v>
      </c>
      <c r="D39" s="89">
        <v>0.35</v>
      </c>
      <c r="E39" s="39">
        <f>$D39+$D39*SSP_parameters_assumptions!E53</f>
        <v>0.26249999999999996</v>
      </c>
      <c r="F39" s="39">
        <f>$D39+$D39*SSP_parameters_assumptions!F53</f>
        <v>0.35</v>
      </c>
      <c r="G39" s="39">
        <f>$D39+$D39*SSP_parameters_assumptions!G53</f>
        <v>0.40249999999999997</v>
      </c>
      <c r="H39" s="39">
        <f>$D39+$D39*SSP_parameters_assumptions!H53</f>
        <v>0.29749999999999999</v>
      </c>
      <c r="I39" s="39">
        <f>$D39+$D39*SSP_parameters_assumptions!I53</f>
        <v>0.52499999999999991</v>
      </c>
      <c r="J39" s="38"/>
      <c r="K39" s="38"/>
      <c r="L39" s="38"/>
      <c r="M39" s="38"/>
    </row>
    <row r="40" spans="1:13" x14ac:dyDescent="0.25">
      <c r="A40" s="659"/>
      <c r="B40" s="658"/>
      <c r="C40" s="51" t="s">
        <v>82</v>
      </c>
      <c r="D40" s="91">
        <v>5</v>
      </c>
      <c r="E40" s="39">
        <f>$D40+$D40*SSP_parameters_assumptions!E54</f>
        <v>6.25</v>
      </c>
      <c r="F40" s="39">
        <f>$D40+$D40*SSP_parameters_assumptions!F54</f>
        <v>5</v>
      </c>
      <c r="G40" s="39">
        <f>$D40+$D40*SSP_parameters_assumptions!G54</f>
        <v>4.25</v>
      </c>
      <c r="H40" s="39">
        <f>$D40+$D40*SSP_parameters_assumptions!H54</f>
        <v>5.75</v>
      </c>
      <c r="I40" s="39">
        <f>$D40+$D40*SSP_parameters_assumptions!I54</f>
        <v>2.5</v>
      </c>
      <c r="J40" s="38"/>
      <c r="K40" s="38"/>
      <c r="L40" s="38"/>
      <c r="M40" s="38"/>
    </row>
    <row r="41" spans="1:13" ht="14.25" customHeight="1" x14ac:dyDescent="0.25">
      <c r="A41" s="659" t="s">
        <v>1512</v>
      </c>
      <c r="B41" s="659" t="s">
        <v>1510</v>
      </c>
      <c r="C41" s="93" t="s">
        <v>171</v>
      </c>
      <c r="D41" s="91">
        <v>900000</v>
      </c>
      <c r="E41" s="39">
        <f>$D41+$D41*SSP_parameters_assumptions!E55</f>
        <v>675000</v>
      </c>
      <c r="F41" s="39">
        <f>$D41+$D41*SSP_parameters_assumptions!F55</f>
        <v>900000</v>
      </c>
      <c r="G41" s="39">
        <f>$D41+$D41*SSP_parameters_assumptions!G55</f>
        <v>1035000</v>
      </c>
      <c r="H41" s="39">
        <f>$D41+$D41*SSP_parameters_assumptions!H55</f>
        <v>765000</v>
      </c>
      <c r="I41" s="39">
        <f>$D41+$D41*SSP_parameters_assumptions!I55</f>
        <v>1350000</v>
      </c>
      <c r="J41" s="38"/>
      <c r="K41" s="38"/>
      <c r="L41" s="38"/>
      <c r="M41" s="38"/>
    </row>
    <row r="42" spans="1:13" x14ac:dyDescent="0.25">
      <c r="A42" s="659"/>
      <c r="B42" s="659"/>
      <c r="C42" s="55" t="s">
        <v>1495</v>
      </c>
      <c r="D42" s="91">
        <v>21000000000</v>
      </c>
      <c r="E42" s="39">
        <f>$D42+$D42*SSP_parameters_assumptions!E56</f>
        <v>10500000000</v>
      </c>
      <c r="F42" s="39">
        <f>$D42+$D42*SSP_parameters_assumptions!F56</f>
        <v>21000000000</v>
      </c>
      <c r="G42" s="39">
        <f>$D42+$D42*SSP_parameters_assumptions!G56</f>
        <v>16800000000</v>
      </c>
      <c r="H42" s="39">
        <f>$D42+$D42*SSP_parameters_assumptions!H56</f>
        <v>16800000000</v>
      </c>
      <c r="I42" s="39">
        <f>$D42+$D42*SSP_parameters_assumptions!I56</f>
        <v>36750000000</v>
      </c>
      <c r="J42" s="38"/>
      <c r="K42" s="38"/>
      <c r="L42" s="38"/>
      <c r="M42" s="38"/>
    </row>
    <row r="43" spans="1:13" x14ac:dyDescent="0.25">
      <c r="A43" s="659"/>
      <c r="B43" s="659"/>
      <c r="C43" s="55" t="s">
        <v>1496</v>
      </c>
      <c r="D43" s="91">
        <v>5000</v>
      </c>
      <c r="E43" s="39">
        <f>$D43+$D43*SSP_parameters_assumptions!E57</f>
        <v>2750</v>
      </c>
      <c r="F43" s="39">
        <f>$D43+$D43*SSP_parameters_assumptions!F57</f>
        <v>5000</v>
      </c>
      <c r="G43" s="39">
        <f>$D43+$D43*SSP_parameters_assumptions!G57</f>
        <v>3250</v>
      </c>
      <c r="H43" s="39">
        <f>$D43+$D43*SSP_parameters_assumptions!H57</f>
        <v>2500</v>
      </c>
      <c r="I43" s="39">
        <f>$D43+$D43*SSP_parameters_assumptions!I57</f>
        <v>6750</v>
      </c>
      <c r="J43" s="38"/>
      <c r="K43" s="38"/>
      <c r="L43" s="38"/>
      <c r="M43" s="38"/>
    </row>
    <row r="44" spans="1:13" x14ac:dyDescent="0.25">
      <c r="A44" s="659"/>
      <c r="B44" s="659"/>
      <c r="C44" s="50" t="s">
        <v>55</v>
      </c>
      <c r="D44" s="89">
        <v>10</v>
      </c>
      <c r="E44" s="39">
        <f>$D44+$D44*SSP_parameters_assumptions!E58</f>
        <v>6</v>
      </c>
      <c r="F44" s="39">
        <f>$D44+$D44*SSP_parameters_assumptions!F58</f>
        <v>10</v>
      </c>
      <c r="G44" s="39">
        <f>$D44+$D44*SSP_parameters_assumptions!G58</f>
        <v>17.5</v>
      </c>
      <c r="H44" s="39">
        <f>$D44+$D44*SSP_parameters_assumptions!H58</f>
        <v>13</v>
      </c>
      <c r="I44" s="39">
        <f>$D44+$D44*SSP_parameters_assumptions!I58</f>
        <v>10</v>
      </c>
      <c r="J44" s="507"/>
      <c r="K44" s="507"/>
      <c r="L44" s="507"/>
      <c r="M44" s="507"/>
    </row>
    <row r="45" spans="1:13" x14ac:dyDescent="0.25">
      <c r="A45" s="659"/>
      <c r="B45" s="659"/>
      <c r="C45" s="50" t="s">
        <v>61</v>
      </c>
      <c r="D45" s="89">
        <v>30000000</v>
      </c>
      <c r="E45" s="39">
        <f>$D45+$D45*SSP_parameters_assumptions!E59</f>
        <v>10500000</v>
      </c>
      <c r="F45" s="39">
        <f>$D45+$D45*SSP_parameters_assumptions!F59</f>
        <v>30000000</v>
      </c>
      <c r="G45" s="39">
        <f>$D45+$D45*SSP_parameters_assumptions!G59</f>
        <v>3000000</v>
      </c>
      <c r="H45" s="39">
        <f>$D45+$D45*SSP_parameters_assumptions!H59</f>
        <v>18000000</v>
      </c>
      <c r="I45" s="39">
        <f>$D45+$D45*SSP_parameters_assumptions!I59</f>
        <v>27000000</v>
      </c>
      <c r="J45" s="507"/>
      <c r="K45" s="507"/>
      <c r="L45" s="507"/>
      <c r="M45" s="507"/>
    </row>
    <row r="46" spans="1:13" ht="14.25" customHeight="1" x14ac:dyDescent="0.25">
      <c r="A46" s="659"/>
      <c r="B46" s="659"/>
      <c r="C46" s="89" t="s">
        <v>127</v>
      </c>
      <c r="D46" s="89">
        <v>7500000000</v>
      </c>
      <c r="E46" s="39">
        <f>$D46+$D46*SSP_parameters_assumptions!E62</f>
        <v>0</v>
      </c>
      <c r="F46" s="39">
        <f>$D46+$D46*SSP_parameters_assumptions!F62</f>
        <v>7500000000</v>
      </c>
      <c r="G46" s="39">
        <f>$D46+$D46*SSP_parameters_assumptions!G62</f>
        <v>30000000000</v>
      </c>
      <c r="H46" s="39">
        <f>$D46+$D46*SSP_parameters_assumptions!H62</f>
        <v>22500000000</v>
      </c>
      <c r="I46" s="39">
        <f>$D46+$D46*SSP_parameters_assumptions!I62</f>
        <v>30000000000</v>
      </c>
      <c r="J46" s="38"/>
      <c r="K46" s="38"/>
      <c r="L46" s="38"/>
      <c r="M46" s="38"/>
    </row>
    <row r="47" spans="1:13" x14ac:dyDescent="0.25">
      <c r="A47" s="659"/>
      <c r="B47" s="659"/>
      <c r="C47" s="365" t="s">
        <v>1061</v>
      </c>
      <c r="D47" s="365">
        <v>0</v>
      </c>
      <c r="E47" s="547">
        <v>1</v>
      </c>
      <c r="F47" s="547">
        <v>0</v>
      </c>
      <c r="G47" s="547">
        <v>0</v>
      </c>
      <c r="H47" s="547">
        <v>0</v>
      </c>
      <c r="I47" s="547">
        <v>0</v>
      </c>
      <c r="J47" s="515"/>
      <c r="K47" s="515"/>
      <c r="L47" s="515"/>
      <c r="M47" s="515"/>
    </row>
    <row r="48" spans="1:13" s="358" customFormat="1" ht="14.25" customHeight="1" x14ac:dyDescent="0.25">
      <c r="A48" s="659"/>
      <c r="B48" s="658"/>
      <c r="C48" s="50" t="s">
        <v>88</v>
      </c>
      <c r="D48" s="89">
        <v>0.95</v>
      </c>
      <c r="E48" s="39">
        <f>$D48+$D48*SSP_parameters_assumptions!E65</f>
        <v>0.90249999999999997</v>
      </c>
      <c r="F48" s="39">
        <f>$D48+$D48*SSP_parameters_assumptions!F65</f>
        <v>0.95</v>
      </c>
      <c r="G48" s="550">
        <v>1</v>
      </c>
      <c r="H48" s="39">
        <f>$D48+$D48*SSP_parameters_assumptions!H65</f>
        <v>0.95</v>
      </c>
      <c r="I48" s="39">
        <f>$D48+$D48*SSP_parameters_assumptions!I65</f>
        <v>0.93099999999999994</v>
      </c>
      <c r="J48" s="519"/>
      <c r="K48" s="519"/>
      <c r="L48" s="519"/>
      <c r="M48" s="519"/>
    </row>
    <row r="49" spans="1:13" s="358" customFormat="1" x14ac:dyDescent="0.25">
      <c r="A49" s="659"/>
      <c r="B49" s="658"/>
      <c r="C49" s="347" t="s">
        <v>89</v>
      </c>
      <c r="D49" s="89">
        <v>5</v>
      </c>
      <c r="E49" s="39">
        <f>$D49+$D49*SSP_parameters_assumptions!E66</f>
        <v>5.5</v>
      </c>
      <c r="F49" s="39">
        <f>$D49+$D49*SSP_parameters_assumptions!F66</f>
        <v>5</v>
      </c>
      <c r="G49" s="39">
        <f>$D49+$D49*SSP_parameters_assumptions!G66</f>
        <v>2.5</v>
      </c>
      <c r="H49" s="39">
        <f>$D49+$D49*SSP_parameters_assumptions!H66</f>
        <v>5</v>
      </c>
      <c r="I49" s="39">
        <f>$D49+$D49*SSP_parameters_assumptions!I66</f>
        <v>5.25</v>
      </c>
      <c r="J49" s="519"/>
      <c r="K49" s="519"/>
      <c r="L49" s="519"/>
      <c r="M49" s="519"/>
    </row>
    <row r="50" spans="1:13" ht="14.25" customHeight="1" x14ac:dyDescent="0.25">
      <c r="A50" s="659"/>
      <c r="B50" s="658"/>
      <c r="C50" s="91" t="s">
        <v>109</v>
      </c>
      <c r="D50" s="91">
        <v>7.0000000000000007E-2</v>
      </c>
      <c r="E50" s="39">
        <f>$D50+$D50*SSP_parameters_assumptions!E69</f>
        <v>8.7500000000000008E-2</v>
      </c>
      <c r="F50" s="39">
        <f>$D50+$D50*SSP_parameters_assumptions!F69</f>
        <v>7.0000000000000007E-2</v>
      </c>
      <c r="G50" s="39">
        <f>$D50+$D50*SSP_parameters_assumptions!G69</f>
        <v>5.2500000000000005E-2</v>
      </c>
      <c r="H50" s="39">
        <f>$D50+$D50*SSP_parameters_assumptions!H69</f>
        <v>6.3E-2</v>
      </c>
      <c r="I50" s="39">
        <f>$D50+$D50*SSP_parameters_assumptions!I69</f>
        <v>8.0500000000000002E-2</v>
      </c>
      <c r="J50" s="507"/>
      <c r="K50" s="507"/>
      <c r="L50" s="507"/>
      <c r="M50" s="507"/>
    </row>
    <row r="51" spans="1:13" x14ac:dyDescent="0.25">
      <c r="A51" s="659"/>
      <c r="B51" s="658"/>
      <c r="C51" s="89" t="s">
        <v>107</v>
      </c>
      <c r="D51" s="89">
        <v>0.3</v>
      </c>
      <c r="E51" s="39">
        <f>$D51+$D51*SSP_parameters_assumptions!E70</f>
        <v>0.34499999999999997</v>
      </c>
      <c r="F51" s="39">
        <f>$D51+$D51*SSP_parameters_assumptions!F70</f>
        <v>0.3</v>
      </c>
      <c r="G51" s="39">
        <f>$D51+$D51*SSP_parameters_assumptions!G70</f>
        <v>0.22499999999999998</v>
      </c>
      <c r="H51" s="39">
        <f>$D51+$D51*SSP_parameters_assumptions!H70</f>
        <v>0.27</v>
      </c>
      <c r="I51" s="39">
        <f>$D51+$D51*SSP_parameters_assumptions!I70</f>
        <v>0.34499999999999997</v>
      </c>
      <c r="J51" s="507"/>
      <c r="K51" s="507"/>
      <c r="L51" s="507"/>
      <c r="M51" s="507"/>
    </row>
    <row r="52" spans="1:13" x14ac:dyDescent="0.25">
      <c r="A52" s="659"/>
      <c r="B52" s="658" t="s">
        <v>286</v>
      </c>
      <c r="C52" s="55" t="s">
        <v>110</v>
      </c>
      <c r="D52" s="91">
        <v>1</v>
      </c>
      <c r="E52" s="39">
        <f>$D52+$D52*SSP_parameters_assumptions!E73</f>
        <v>0.5</v>
      </c>
      <c r="F52" s="39">
        <f>$D52+$D52*SSP_parameters_assumptions!F73</f>
        <v>1</v>
      </c>
      <c r="G52" s="39">
        <f>$D52+$D52*SSP_parameters_assumptions!G73</f>
        <v>1.5</v>
      </c>
      <c r="H52" s="39">
        <f>$D52+$D52*SSP_parameters_assumptions!H73</f>
        <v>0.75</v>
      </c>
      <c r="I52" s="39">
        <f>$D52+$D52*SSP_parameters_assumptions!I73</f>
        <v>0.8</v>
      </c>
      <c r="J52" s="507"/>
      <c r="K52" s="507"/>
      <c r="L52" s="507"/>
      <c r="M52" s="507"/>
    </row>
    <row r="53" spans="1:13" x14ac:dyDescent="0.25">
      <c r="A53" s="659"/>
      <c r="B53" s="658"/>
      <c r="C53" s="582" t="s">
        <v>114</v>
      </c>
      <c r="D53" s="564">
        <v>1</v>
      </c>
      <c r="E53" s="39">
        <f>$D53+$D53*SSP_parameters_assumptions!E74</f>
        <v>0.9</v>
      </c>
      <c r="F53" s="39">
        <f>$D53+$D53*SSP_parameters_assumptions!F74</f>
        <v>1</v>
      </c>
      <c r="G53" s="39">
        <f>$D53+$D53*SSP_parameters_assumptions!G74</f>
        <v>1.05</v>
      </c>
      <c r="H53" s="39">
        <f>$D53+$D53*SSP_parameters_assumptions!H74</f>
        <v>0.95</v>
      </c>
      <c r="I53" s="39">
        <f>$D53+$D53*SSP_parameters_assumptions!I74</f>
        <v>1.1000000000000001</v>
      </c>
      <c r="J53" s="507"/>
      <c r="K53" s="507"/>
      <c r="L53" s="507"/>
      <c r="M53" s="507"/>
    </row>
    <row r="54" spans="1:13" x14ac:dyDescent="0.25">
      <c r="A54" s="659"/>
      <c r="B54" s="658"/>
      <c r="C54" s="582" t="s">
        <v>115</v>
      </c>
      <c r="D54" s="564">
        <v>1</v>
      </c>
      <c r="E54" s="39">
        <f>$D54+$D54*SSP_parameters_assumptions!E75</f>
        <v>0.9</v>
      </c>
      <c r="F54" s="39">
        <f>$D54+$D54*SSP_parameters_assumptions!F75</f>
        <v>1</v>
      </c>
      <c r="G54" s="39">
        <f>$D54+$D54*SSP_parameters_assumptions!G75</f>
        <v>1.05</v>
      </c>
      <c r="H54" s="39">
        <f>$D54+$D54*SSP_parameters_assumptions!H75</f>
        <v>0.95</v>
      </c>
      <c r="I54" s="39">
        <f>$D54+$D54*SSP_parameters_assumptions!I75</f>
        <v>1.1000000000000001</v>
      </c>
      <c r="J54" s="507"/>
      <c r="K54" s="507"/>
      <c r="L54" s="507"/>
      <c r="M54" s="507"/>
    </row>
    <row r="55" spans="1:13" x14ac:dyDescent="0.25">
      <c r="A55" s="659"/>
      <c r="B55" s="658"/>
      <c r="C55" s="91" t="s">
        <v>116</v>
      </c>
      <c r="D55" s="543">
        <v>1</v>
      </c>
      <c r="E55" s="39">
        <f>$D55+$D55*SSP_parameters_assumptions!E76</f>
        <v>0.9</v>
      </c>
      <c r="F55" s="39">
        <f>$D55+$D55*SSP_parameters_assumptions!F76</f>
        <v>1</v>
      </c>
      <c r="G55" s="39">
        <f>$D55+$D55*SSP_parameters_assumptions!G76</f>
        <v>1.05</v>
      </c>
      <c r="H55" s="39">
        <f>$D55+$D55*SSP_parameters_assumptions!H76</f>
        <v>0.95</v>
      </c>
      <c r="I55" s="39">
        <f>$D55+$D55*SSP_parameters_assumptions!I76</f>
        <v>1.1000000000000001</v>
      </c>
      <c r="J55" s="507"/>
      <c r="K55" s="507"/>
      <c r="L55" s="507"/>
      <c r="M55" s="507"/>
    </row>
    <row r="56" spans="1:13" x14ac:dyDescent="0.25">
      <c r="A56" s="659"/>
      <c r="B56" s="658"/>
      <c r="C56" s="91" t="s">
        <v>120</v>
      </c>
      <c r="D56" s="91">
        <v>1672.6</v>
      </c>
      <c r="E56" s="39">
        <f>$D56+$D56*SSP_parameters_assumptions!E77</f>
        <v>1505.34</v>
      </c>
      <c r="F56" s="39">
        <f>$D56+$D56*SSP_parameters_assumptions!F77</f>
        <v>1672.6</v>
      </c>
      <c r="G56" s="39">
        <f>$D56+$D56*SSP_parameters_assumptions!G77</f>
        <v>1756.23</v>
      </c>
      <c r="H56" s="39">
        <f>$D56+$D56*SSP_parameters_assumptions!H77</f>
        <v>1756.23</v>
      </c>
      <c r="I56" s="39">
        <f>$D56+$D56*SSP_parameters_assumptions!I77</f>
        <v>2090.75</v>
      </c>
      <c r="J56" s="507"/>
      <c r="K56" s="507"/>
      <c r="L56" s="507"/>
      <c r="M56" s="507"/>
    </row>
    <row r="57" spans="1:13" x14ac:dyDescent="0.25">
      <c r="A57" s="659"/>
      <c r="B57" s="658" t="s">
        <v>287</v>
      </c>
      <c r="C57" s="91" t="s">
        <v>117</v>
      </c>
      <c r="D57" s="58">
        <v>0.01</v>
      </c>
      <c r="E57" s="39">
        <f>$D57+$D57*SSP_parameters_assumptions!E78</f>
        <v>5.0000000000000001E-3</v>
      </c>
      <c r="F57" s="39">
        <f>$D57+$D57*SSP_parameters_assumptions!F78</f>
        <v>0.01</v>
      </c>
      <c r="G57" s="550">
        <v>6.7000000000000002E-3</v>
      </c>
      <c r="H57" s="39">
        <f>$D57+$D57*SSP_parameters_assumptions!H78</f>
        <v>5.4999999999999997E-3</v>
      </c>
      <c r="I57" s="39">
        <f>$D57+$D57*SSP_parameters_assumptions!I78</f>
        <v>1.2500000000000001E-2</v>
      </c>
      <c r="J57" s="507"/>
      <c r="K57" s="507"/>
      <c r="L57" s="507"/>
      <c r="M57" s="507"/>
    </row>
    <row r="58" spans="1:13" x14ac:dyDescent="0.25">
      <c r="A58" s="659"/>
      <c r="B58" s="658"/>
      <c r="C58" s="358" t="s">
        <v>118</v>
      </c>
      <c r="D58" s="566">
        <v>3.0000000000000001E-3</v>
      </c>
      <c r="E58" s="39">
        <f>$D58+$D58*SSP_parameters_assumptions!E79</f>
        <v>4.5000000000000005E-3</v>
      </c>
      <c r="F58" s="39">
        <f>$D58+$D58*SSP_parameters_assumptions!F79</f>
        <v>3.0000000000000001E-3</v>
      </c>
      <c r="G58" s="39">
        <f>$D58+$D58*SSP_parameters_assumptions!G79</f>
        <v>2.4000000000000002E-3</v>
      </c>
      <c r="H58" s="39">
        <f>$D58+$D58*SSP_parameters_assumptions!H79</f>
        <v>4.3499999999999997E-3</v>
      </c>
      <c r="I58" s="39">
        <f>$D58+$D58*SSP_parameters_assumptions!I79</f>
        <v>2.2500000000000003E-3</v>
      </c>
      <c r="J58" s="507"/>
      <c r="K58" s="507"/>
      <c r="L58" s="507"/>
      <c r="M58" s="507"/>
    </row>
    <row r="59" spans="1:13" x14ac:dyDescent="0.25">
      <c r="A59" s="659"/>
      <c r="B59" s="658"/>
      <c r="C59" s="358" t="s">
        <v>119</v>
      </c>
      <c r="D59" s="566">
        <v>0.04</v>
      </c>
      <c r="E59" s="39">
        <f>$D59+$D59*SSP_parameters_assumptions!E80</f>
        <v>4.2000000000000003E-2</v>
      </c>
      <c r="F59" s="39">
        <f>$D59+$D59*SSP_parameters_assumptions!F80</f>
        <v>0.04</v>
      </c>
      <c r="G59" s="39">
        <f>$D59+$D59*SSP_parameters_assumptions!G80</f>
        <v>4.2000000000000003E-2</v>
      </c>
      <c r="H59" s="39">
        <f>$D59+$D59*SSP_parameters_assumptions!H80</f>
        <v>0.04</v>
      </c>
      <c r="I59" s="39">
        <f>$D59+$D59*SSP_parameters_assumptions!I80</f>
        <v>4.2000000000000003E-2</v>
      </c>
      <c r="J59" s="507"/>
      <c r="K59" s="507"/>
      <c r="L59" s="507"/>
      <c r="M59" s="507"/>
    </row>
    <row r="60" spans="1:13" x14ac:dyDescent="0.25">
      <c r="A60" s="659"/>
      <c r="B60" s="658"/>
      <c r="C60" s="546" t="s">
        <v>126</v>
      </c>
      <c r="D60" s="91">
        <v>1.2</v>
      </c>
      <c r="E60" s="39">
        <f>$D60+$D60*SSP_parameters_assumptions!E81</f>
        <v>1.5</v>
      </c>
      <c r="F60" s="39">
        <f>$D60+$D60*SSP_parameters_assumptions!F81</f>
        <v>1.2</v>
      </c>
      <c r="G60" s="39">
        <f>$D60+$D60*SSP_parameters_assumptions!G81</f>
        <v>1.08</v>
      </c>
      <c r="H60" s="39">
        <f>$D60+$D60*SSP_parameters_assumptions!H81</f>
        <v>1.44</v>
      </c>
      <c r="I60" s="39">
        <f>$D60+$D60*SSP_parameters_assumptions!I81</f>
        <v>1.08</v>
      </c>
      <c r="J60" s="507"/>
      <c r="K60" s="507"/>
      <c r="L60" s="507"/>
      <c r="M60" s="507"/>
    </row>
    <row r="61" spans="1:13" x14ac:dyDescent="0.25">
      <c r="A61" s="659"/>
      <c r="B61" s="658"/>
      <c r="C61" s="365" t="s">
        <v>134</v>
      </c>
      <c r="D61" s="365">
        <v>0</v>
      </c>
      <c r="E61" s="66">
        <v>4</v>
      </c>
      <c r="F61" s="56">
        <v>0</v>
      </c>
      <c r="G61" s="56">
        <v>0</v>
      </c>
      <c r="H61" s="56">
        <v>1</v>
      </c>
      <c r="I61" s="56">
        <v>0</v>
      </c>
    </row>
    <row r="62" spans="1:13" x14ac:dyDescent="0.25">
      <c r="A62" s="579"/>
      <c r="B62" s="579"/>
    </row>
    <row r="63" spans="1:13" x14ac:dyDescent="0.25">
      <c r="A63" s="579"/>
      <c r="B63" s="579"/>
    </row>
    <row r="64" spans="1:13" x14ac:dyDescent="0.25">
      <c r="A64" s="579"/>
      <c r="B64" s="579"/>
    </row>
  </sheetData>
  <mergeCells count="19">
    <mergeCell ref="B15:B16"/>
    <mergeCell ref="A2:A16"/>
    <mergeCell ref="B2:B4"/>
    <mergeCell ref="B5:B12"/>
    <mergeCell ref="B13:B14"/>
    <mergeCell ref="A17:A26"/>
    <mergeCell ref="B17:B22"/>
    <mergeCell ref="B23:B26"/>
    <mergeCell ref="A27:A40"/>
    <mergeCell ref="B27:B36"/>
    <mergeCell ref="B37:B40"/>
    <mergeCell ref="B50:B51"/>
    <mergeCell ref="A52:A61"/>
    <mergeCell ref="B52:B56"/>
    <mergeCell ref="B57:B61"/>
    <mergeCell ref="A41:A47"/>
    <mergeCell ref="A48:A51"/>
    <mergeCell ref="B48:B49"/>
    <mergeCell ref="B41:B47"/>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B981A83F22DFB4AAABCB489143C1BA5" ma:contentTypeVersion="13" ma:contentTypeDescription="Create a new document." ma:contentTypeScope="" ma:versionID="3593b7a972b7b9137d50609c6535447c">
  <xsd:schema xmlns:xsd="http://www.w3.org/2001/XMLSchema" xmlns:xs="http://www.w3.org/2001/XMLSchema" xmlns:p="http://schemas.microsoft.com/office/2006/metadata/properties" xmlns:ns3="907d5646-a874-4fa6-bebe-ae1ba3d572e9" xmlns:ns4="2b3be5b4-59b7-49d3-a9f0-cd00eff0f268" targetNamespace="http://schemas.microsoft.com/office/2006/metadata/properties" ma:root="true" ma:fieldsID="3260728239ea1fdb6b871d7afed920ad" ns3:_="" ns4:_="">
    <xsd:import namespace="907d5646-a874-4fa6-bebe-ae1ba3d572e9"/>
    <xsd:import namespace="2b3be5b4-59b7-49d3-a9f0-cd00eff0f26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7d5646-a874-4fa6-bebe-ae1ba3d57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b3be5b4-59b7-49d3-a9f0-cd00eff0f26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34DB75-8048-46BB-BF9B-E68646B36D97}">
  <ds:schemaRefs>
    <ds:schemaRef ds:uri="http://schemas.microsoft.com/office/infopath/2007/PartnerControls"/>
    <ds:schemaRef ds:uri="http://schemas.microsoft.com/office/2006/documentManagement/types"/>
    <ds:schemaRef ds:uri="http://schemas.microsoft.com/office/2006/metadata/properties"/>
    <ds:schemaRef ds:uri="2b3be5b4-59b7-49d3-a9f0-cd00eff0f268"/>
    <ds:schemaRef ds:uri="http://purl.org/dc/terms/"/>
    <ds:schemaRef ds:uri="http://schemas.openxmlformats.org/package/2006/metadata/core-properties"/>
    <ds:schemaRef ds:uri="http://purl.org/dc/dcmitype/"/>
    <ds:schemaRef ds:uri="907d5646-a874-4fa6-bebe-ae1ba3d572e9"/>
    <ds:schemaRef ds:uri="http://www.w3.org/XML/1998/namespace"/>
    <ds:schemaRef ds:uri="http://purl.org/dc/elements/1.1/"/>
  </ds:schemaRefs>
</ds:datastoreItem>
</file>

<file path=customXml/itemProps2.xml><?xml version="1.0" encoding="utf-8"?>
<ds:datastoreItem xmlns:ds="http://schemas.openxmlformats.org/officeDocument/2006/customXml" ds:itemID="{2EB6912D-93FE-425D-B235-341EE8CBE3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07d5646-a874-4fa6-bebe-ae1ba3d572e9"/>
    <ds:schemaRef ds:uri="2b3be5b4-59b7-49d3-a9f0-cd00eff0f2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7DC1EC-8970-45AB-8FB5-2186EAAE0C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Outcomes</vt:lpstr>
      <vt:lpstr>Uncertainties</vt:lpstr>
      <vt:lpstr>Important_Uncertainties</vt:lpstr>
      <vt:lpstr>Correlation_analysis</vt:lpstr>
      <vt:lpstr>SDG_indicators_description_arch</vt:lpstr>
      <vt:lpstr>SSP_parameters_assumptions_arch</vt:lpstr>
      <vt:lpstr>SSP_parameters_assumptions</vt:lpstr>
      <vt:lpstr>SSP_parameters_values</vt:lpstr>
      <vt:lpstr>SSP_parameters_values (3)</vt:lpstr>
      <vt:lpstr>SSP_parameters_values (4)</vt:lpstr>
      <vt:lpstr>Exploratory_analysis_constants</vt:lpstr>
      <vt:lpstr>Exploratory_analysis_SSP1</vt:lpstr>
      <vt:lpstr>Quantitative_assumption_rates</vt:lpstr>
      <vt:lpstr>Quantitative_assumption_values</vt:lpstr>
      <vt:lpstr>SSP_parameters_values_arch</vt:lpstr>
      <vt:lpstr>SSP_parameters_values (2)</vt:lpstr>
      <vt:lpstr>Exploratory_analysis_SSP2</vt:lpstr>
      <vt:lpstr>Exploratory_analysis_SSP3</vt:lpstr>
      <vt:lpstr>Exploratory_analysis_SSP4</vt:lpstr>
      <vt:lpstr>Exploratory_analysis_SSP5</vt:lpstr>
      <vt:lpstr>SDG_indicators_description</vt:lpstr>
      <vt:lpstr>SDG_indicators_description_P1</vt:lpstr>
      <vt:lpstr>SDG_indicators_description_P2</vt:lpstr>
      <vt:lpstr>SDG_indicator_metadata</vt:lpstr>
      <vt:lpstr>SDG_indicator_target</vt:lpstr>
      <vt:lpstr>SDG_indicator_definition</vt:lpstr>
      <vt:lpstr>SDG_indicator_target_justifc</vt:lpstr>
      <vt:lpstr>SDG_indicator_data_sources_P1</vt:lpstr>
      <vt:lpstr>SDG_indicator_data_P1</vt:lpstr>
      <vt:lpstr>SDG_indicator_data (2)</vt:lpstr>
      <vt:lpstr>SDG_indicator_data_arch2</vt:lpstr>
      <vt:lpstr>SDG_indicator_data_arch</vt:lpstr>
      <vt:lpstr>SDG_indicator_model_target</vt:lpstr>
      <vt:lpstr>SDG_indicator_model_target_P1</vt:lpstr>
      <vt:lpstr>SDG_indicator_notarget</vt:lpstr>
      <vt:lpstr>SSPs_assumptions_sum</vt:lpstr>
      <vt:lpstr>Qualitative_assumptions_sum (2)</vt:lpstr>
      <vt:lpstr>Quantitative_assumptions_table</vt:lpstr>
      <vt:lpstr>Qualitative_assumptions_Covid</vt:lpstr>
      <vt:lpstr>Qualitative_assumptions_P1</vt:lpstr>
      <vt:lpstr>Quantitative_assumption_val_sum</vt:lpstr>
      <vt:lpstr>Quantitat_assump_val_sum_archiv</vt:lpstr>
      <vt:lpstr>Exploratory_analysis_PesST</vt:lpstr>
      <vt:lpstr>Exploratory_analysis_PesLT</vt:lpstr>
      <vt:lpstr>Exploratory_analysis_OptST</vt:lpstr>
      <vt:lpstr>Exploratory_analysis_OptLT</vt:lpstr>
      <vt:lpstr>Quantitative_assump_sum_archiv</vt:lpstr>
      <vt:lpstr>SDG_indicator_data_archive</vt:lpstr>
      <vt:lpstr>SSPs_parallel_plot__archv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Enayat A. Moallemi</dc:creator>
  <cp:lastModifiedBy>Enayat A. Moallemi</cp:lastModifiedBy>
  <dcterms:created xsi:type="dcterms:W3CDTF">2015-06-05T18:17:20Z</dcterms:created>
  <dcterms:modified xsi:type="dcterms:W3CDTF">2020-10-12T06:55:13Z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0x0101009B981A83F22DFB4AAABCB489143C1BA5</vt:lpwstr>
  </property>
</Properties>
</file>